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trlProps/ctrlProp4.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ctrlProps/ctrlProp5.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drawings/drawing7.xml" ContentType="application/vnd.openxmlformats-officedocument.drawing+xml"/>
  <Override PartName="/xl/ctrlProps/ctrlProp6.xml" ContentType="application/vnd.ms-excel.controlproperties+xml"/>
  <Override PartName="/xl/comments6.xml" ContentType="application/vnd.openxmlformats-officedocument.spreadsheetml.comments+xml"/>
  <Override PartName="/xl/comments7.xml" ContentType="application/vnd.openxmlformats-officedocument.spreadsheetml.comments+xml"/>
  <Override PartName="/xl/drawings/drawing8.xml" ContentType="application/vnd.openxmlformats-officedocument.drawing+xml"/>
  <Override PartName="/xl/ctrlProps/ctrlProp7.xml" ContentType="application/vnd.ms-excel.controlproperties+xml"/>
  <Override PartName="/xl/comments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codeName="ThisWorkbook" defaultThemeVersion="124226"/>
  <mc:AlternateContent xmlns:mc="http://schemas.openxmlformats.org/markup-compatibility/2006">
    <mc:Choice Requires="x15">
      <x15ac:absPath xmlns:x15ac="http://schemas.microsoft.com/office/spreadsheetml/2010/11/ac" url="C:\Users\TravisLass\Downloads\"/>
    </mc:Choice>
  </mc:AlternateContent>
  <xr:revisionPtr revIDLastSave="0" documentId="8_{F3721A3D-3362-4635-9ABD-37076187508C}" xr6:coauthVersionLast="47" xr6:coauthVersionMax="47" xr10:uidLastSave="{00000000-0000-0000-0000-000000000000}"/>
  <bookViews>
    <workbookView xWindow="-98" yWindow="-98" windowWidth="21795" windowHeight="13875" tabRatio="824" xr2:uid="{00000000-000D-0000-FFFF-FFFF00000000}"/>
  </bookViews>
  <sheets>
    <sheet name="Overview" sheetId="15" r:id="rId1"/>
    <sheet name="Copyright Notice" sheetId="21" r:id="rId2"/>
    <sheet name="Clinical Info" sheetId="4" r:id="rId3"/>
    <sheet name="Database Server Info" sheetId="1" r:id="rId4"/>
    <sheet name="Citrix or Terminal Server Info" sheetId="2" state="hidden" r:id="rId5"/>
    <sheet name="Virtualized Config Checklist" sheetId="20" r:id="rId6"/>
    <sheet name="Qvera Recommendation" sheetId="23" r:id="rId7"/>
    <sheet name="Patient Education Checklist" sheetId="19" r:id="rId8"/>
    <sheet name="Virtualized Config Checklist1" sheetId="3" state="hidden" r:id="rId9"/>
    <sheet name="Defaults" sheetId="11" state="hidden" r:id="rId10"/>
    <sheet name="Physical Config Checklist " sheetId="16" r:id="rId11"/>
    <sheet name="Add On &amp; Desktop Applications" sheetId="18" r:id="rId12"/>
    <sheet name="Network Bitrate Calculations" sheetId="17" r:id="rId13"/>
    <sheet name="Changelog" sheetId="22" state="hidden" r:id="rId14"/>
    <sheet name="Warnings" sheetId="9" state="hidden" r:id="rId15"/>
  </sheets>
  <definedNames>
    <definedName name="_xlnm._FilterDatabase" localSheetId="14" hidden="1">Warnings!$A$1:$J$86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1" i="20" l="1"/>
  <c r="I40" i="20"/>
  <c r="I39" i="20"/>
  <c r="D41" i="20"/>
  <c r="D40" i="20"/>
  <c r="D39" i="20"/>
  <c r="I22" i="4" l="1"/>
  <c r="V34" i="20" l="1"/>
  <c r="Z9" i="1"/>
  <c r="N13" i="16"/>
  <c r="I6" i="2"/>
  <c r="U5" i="20"/>
  <c r="O12" i="20" l="1"/>
  <c r="O10" i="20" l="1"/>
  <c r="O11" i="20"/>
  <c r="O9" i="20"/>
  <c r="I46" i="16" l="1"/>
  <c r="I45" i="16"/>
  <c r="I44" i="16"/>
  <c r="D51" i="16"/>
  <c r="D50" i="16"/>
  <c r="D49" i="16"/>
  <c r="D44" i="16"/>
  <c r="D46" i="16"/>
  <c r="D45" i="16"/>
  <c r="I37" i="16"/>
  <c r="I38" i="16"/>
  <c r="I36" i="16"/>
  <c r="D37" i="16"/>
  <c r="D38" i="16"/>
  <c r="D36" i="16"/>
  <c r="D35" i="16"/>
  <c r="A35" i="16"/>
  <c r="A21" i="16"/>
  <c r="N19" i="16"/>
  <c r="F32" i="2"/>
  <c r="M19" i="16" s="1"/>
  <c r="D6" i="16" l="1"/>
  <c r="D5" i="16"/>
  <c r="F32" i="16" s="1"/>
  <c r="F28" i="16" l="1"/>
  <c r="D28" i="16" l="1"/>
  <c r="D15" i="16"/>
  <c r="B54" i="20" l="1"/>
  <c r="C54" i="20" s="1"/>
  <c r="B53" i="20"/>
  <c r="C53" i="20" s="1"/>
  <c r="F49" i="20"/>
  <c r="T68" i="20"/>
  <c r="AP45" i="20"/>
  <c r="AB40" i="16" s="1"/>
  <c r="AO45" i="20"/>
  <c r="AA40" i="16" s="1"/>
  <c r="AP44" i="20"/>
  <c r="AB39" i="16" s="1"/>
  <c r="AO44" i="20"/>
  <c r="AA39" i="16" s="1"/>
  <c r="AP41" i="20"/>
  <c r="AO41" i="20"/>
  <c r="AO42" i="20" l="1"/>
  <c r="AA37" i="16" s="1"/>
  <c r="AA36" i="16"/>
  <c r="AP42" i="20"/>
  <c r="AB37" i="16" s="1"/>
  <c r="AB36" i="16"/>
  <c r="O7" i="20" l="1"/>
  <c r="M9" i="20"/>
  <c r="AG12" i="20" l="1"/>
  <c r="AG11" i="20"/>
  <c r="D6" i="3"/>
  <c r="A4" i="20" l="1"/>
  <c r="AN21" i="20"/>
  <c r="AN20" i="20"/>
  <c r="AM21" i="20"/>
  <c r="AM20" i="20"/>
  <c r="B49" i="11"/>
  <c r="U9" i="20"/>
  <c r="U34" i="20" s="1"/>
  <c r="AA21" i="20" l="1"/>
  <c r="F14" i="20"/>
  <c r="B16" i="20"/>
  <c r="AB11" i="20"/>
  <c r="AA11" i="20" s="1"/>
  <c r="V11" i="20"/>
  <c r="U11" i="20" s="1"/>
  <c r="U33" i="20"/>
  <c r="U35" i="20"/>
  <c r="U22" i="20"/>
  <c r="U65" i="20"/>
  <c r="C37" i="16"/>
  <c r="U52" i="20"/>
  <c r="U48" i="20"/>
  <c r="AA61" i="20"/>
  <c r="AN44" i="20" s="1"/>
  <c r="Z39" i="16" s="1"/>
  <c r="U61" i="20"/>
  <c r="U57" i="20"/>
  <c r="AA60" i="20"/>
  <c r="AM44" i="20" s="1"/>
  <c r="Y39" i="16" s="1"/>
  <c r="U60" i="20"/>
  <c r="AA57" i="20"/>
  <c r="AC57" i="20" s="1"/>
  <c r="AL44" i="20" s="1"/>
  <c r="AA56" i="20"/>
  <c r="AK44" i="20" s="1"/>
  <c r="W39" i="16" s="1"/>
  <c r="U56" i="20"/>
  <c r="AQ43" i="20" s="1"/>
  <c r="AC38" i="16" s="1"/>
  <c r="U47" i="20"/>
  <c r="AA74" i="20"/>
  <c r="AN45" i="20" s="1"/>
  <c r="Z40" i="16" s="1"/>
  <c r="AA69" i="20"/>
  <c r="AK45" i="20" s="1"/>
  <c r="W40" i="16" s="1"/>
  <c r="AA12" i="20"/>
  <c r="AA15" i="20" s="1"/>
  <c r="U44" i="20"/>
  <c r="U43" i="20"/>
  <c r="AQ42" i="20" s="1"/>
  <c r="AA70" i="20"/>
  <c r="AC70" i="20" s="1"/>
  <c r="AL45" i="20" s="1"/>
  <c r="AA22" i="20"/>
  <c r="AA73" i="20"/>
  <c r="AM45" i="20" s="1"/>
  <c r="Y40" i="16" s="1"/>
  <c r="F12" i="20"/>
  <c r="X33" i="20"/>
  <c r="B20" i="20" s="1"/>
  <c r="X34" i="20"/>
  <c r="AA9" i="20"/>
  <c r="D21" i="20" l="1"/>
  <c r="B21" i="20"/>
  <c r="M59" i="16" s="1"/>
  <c r="G26" i="16"/>
  <c r="U36" i="20"/>
  <c r="B12" i="20"/>
  <c r="B33" i="16" s="1"/>
  <c r="C36" i="16"/>
  <c r="B15" i="20"/>
  <c r="AL41" i="20"/>
  <c r="AL42" i="20" s="1"/>
  <c r="X37" i="16" s="1"/>
  <c r="C45" i="16" s="1"/>
  <c r="AF7" i="20"/>
  <c r="G9" i="20"/>
  <c r="G10" i="20" s="1"/>
  <c r="AC37" i="16"/>
  <c r="W57" i="20"/>
  <c r="AR43" i="20" s="1"/>
  <c r="W44" i="20"/>
  <c r="AR42" i="20" s="1"/>
  <c r="X40" i="16"/>
  <c r="X39" i="16"/>
  <c r="U13" i="20"/>
  <c r="AK41" i="20"/>
  <c r="AK42" i="20" s="1"/>
  <c r="W37" i="16" s="1"/>
  <c r="C44" i="16" s="1"/>
  <c r="AA13" i="20"/>
  <c r="D20" i="20"/>
  <c r="U51" i="20"/>
  <c r="AU42" i="20" s="1"/>
  <c r="B44" i="20" s="1"/>
  <c r="AS42" i="20"/>
  <c r="AV43" i="20"/>
  <c r="AH38" i="16" s="1"/>
  <c r="AT43" i="20"/>
  <c r="AF38" i="16" s="1"/>
  <c r="AA48" i="20"/>
  <c r="AN41" i="20"/>
  <c r="AM41" i="20"/>
  <c r="AA47" i="20"/>
  <c r="AV42" i="20"/>
  <c r="AT42" i="20"/>
  <c r="U64" i="20"/>
  <c r="AU43" i="20" s="1"/>
  <c r="AG38" i="16" s="1"/>
  <c r="AS43" i="20"/>
  <c r="AE38" i="16" s="1"/>
  <c r="AA44" i="20"/>
  <c r="AC44" i="20" s="1"/>
  <c r="AA43" i="20"/>
  <c r="D16" i="20"/>
  <c r="U12" i="20"/>
  <c r="U15" i="20" s="1"/>
  <c r="U21" i="20"/>
  <c r="AJ11" i="20" s="1"/>
  <c r="B8" i="20" s="1"/>
  <c r="AJ12" i="20" l="1"/>
  <c r="B9" i="20" s="1"/>
  <c r="B39" i="20"/>
  <c r="H37" i="16"/>
  <c r="G8" i="20"/>
  <c r="C32" i="16" s="1"/>
  <c r="AD37" i="16"/>
  <c r="B40" i="20"/>
  <c r="AH37" i="16"/>
  <c r="C50" i="16" s="1"/>
  <c r="B45" i="20"/>
  <c r="AF37" i="16"/>
  <c r="AE37" i="16"/>
  <c r="AD38" i="16"/>
  <c r="W36" i="16"/>
  <c r="X36" i="16"/>
  <c r="AR41" i="20"/>
  <c r="AD36" i="16" s="1"/>
  <c r="H44" i="16"/>
  <c r="D44" i="20"/>
  <c r="AG37" i="16"/>
  <c r="C49" i="16" s="1"/>
  <c r="AM42" i="20"/>
  <c r="Y37" i="16" s="1"/>
  <c r="Y36" i="16"/>
  <c r="AN42" i="20"/>
  <c r="Z37" i="16" s="1"/>
  <c r="H45" i="16" s="1"/>
  <c r="Z36" i="16"/>
  <c r="M64" i="16"/>
  <c r="H36" i="16"/>
  <c r="AQ41" i="20"/>
  <c r="AC36" i="16" s="1"/>
  <c r="AT41" i="20"/>
  <c r="AF36" i="16" s="1"/>
  <c r="C27" i="16"/>
  <c r="D45" i="20"/>
  <c r="D15" i="20"/>
  <c r="AU41" i="20"/>
  <c r="AG36" i="16" s="1"/>
  <c r="AV41" i="20"/>
  <c r="AH36" i="16" s="1"/>
  <c r="I8" i="20"/>
  <c r="AS41" i="20"/>
  <c r="AE36" i="16" s="1"/>
  <c r="J11" i="3"/>
  <c r="G39" i="20" l="1"/>
  <c r="C64" i="16" s="1"/>
  <c r="G40" i="20"/>
  <c r="C59" i="16" s="1"/>
  <c r="C14" i="16"/>
  <c r="D8" i="20"/>
  <c r="C19" i="16"/>
  <c r="I9" i="20"/>
  <c r="Z12" i="1"/>
  <c r="K18" i="1" s="1"/>
  <c r="A10" i="3"/>
  <c r="AD3" i="3"/>
  <c r="J16" i="3" s="1"/>
  <c r="U22" i="2"/>
  <c r="D9" i="20" l="1"/>
  <c r="AB12" i="1"/>
  <c r="K17" i="1" s="1"/>
  <c r="B17" i="20"/>
  <c r="D17" i="20" s="1"/>
  <c r="I10" i="20"/>
  <c r="AD7" i="3"/>
  <c r="AD10" i="3"/>
  <c r="B20" i="3" s="1"/>
  <c r="B21" i="3" s="1"/>
  <c r="AD9" i="3"/>
  <c r="J15" i="3"/>
  <c r="AD5" i="3"/>
  <c r="B11" i="3" s="1"/>
  <c r="AD6" i="3"/>
  <c r="B12" i="3" s="1"/>
  <c r="B13" i="3" s="1"/>
  <c r="AF9" i="3"/>
  <c r="B24" i="3" s="1"/>
  <c r="AF10" i="3"/>
  <c r="B25" i="3" s="1"/>
  <c r="B26" i="3" s="1"/>
  <c r="Z11" i="2"/>
  <c r="B22" i="20" l="1"/>
  <c r="C38" i="16"/>
  <c r="H38" i="16" s="1"/>
  <c r="B7" i="3"/>
  <c r="G41" i="20" l="1"/>
  <c r="B46" i="20" s="1"/>
  <c r="D46" i="20" s="1"/>
  <c r="D22" i="20"/>
  <c r="M61" i="16"/>
  <c r="N60" i="16"/>
  <c r="D60" i="16"/>
  <c r="C61" i="16" l="1"/>
  <c r="H46" i="16"/>
  <c r="C51" i="16" s="1"/>
  <c r="B64" i="3"/>
  <c r="B55" i="3"/>
  <c r="H68" i="16" l="1"/>
  <c r="H67" i="16"/>
  <c r="K22" i="2" l="1"/>
  <c r="F24" i="2"/>
  <c r="H24" i="2"/>
  <c r="I24" i="2"/>
  <c r="K25" i="2"/>
  <c r="N25" i="2" s="1"/>
  <c r="G32" i="2"/>
  <c r="T32" i="2"/>
  <c r="V33" i="2"/>
  <c r="W33" i="2" s="1"/>
  <c r="F34" i="2"/>
  <c r="B4" i="19"/>
  <c r="E4" i="19" s="1"/>
  <c r="H27" i="2" l="1"/>
  <c r="M11" i="20"/>
  <c r="E5" i="19"/>
  <c r="E6" i="19" l="1"/>
  <c r="E7" i="19" s="1"/>
  <c r="E8" i="19" s="1"/>
  <c r="E9" i="19" s="1"/>
  <c r="E10" i="19" s="1"/>
  <c r="B5" i="19" l="1"/>
  <c r="R3" i="3" l="1"/>
  <c r="P4" i="1" l="1"/>
  <c r="Q4" i="1"/>
  <c r="O4" i="1" s="1"/>
  <c r="X9" i="1"/>
  <c r="W10" i="3" s="1"/>
  <c r="Q25" i="1"/>
  <c r="P25" i="1" s="1"/>
  <c r="P109" i="1" s="1"/>
  <c r="S25" i="1"/>
  <c r="P18" i="4"/>
  <c r="Q7" i="1" s="1"/>
  <c r="P17" i="4"/>
  <c r="Q6" i="1" s="1"/>
  <c r="W1" i="3"/>
  <c r="P3" i="4"/>
  <c r="AE42" i="3" s="1"/>
  <c r="AE44" i="3" s="1"/>
  <c r="AE45" i="3" s="1"/>
  <c r="X2" i="3"/>
  <c r="X3" i="3" s="1"/>
  <c r="P2" i="4"/>
  <c r="Q1" i="1" s="1"/>
  <c r="P4" i="4"/>
  <c r="Z44" i="3"/>
  <c r="AA44" i="3"/>
  <c r="O17" i="4"/>
  <c r="N59" i="16"/>
  <c r="N58" i="16"/>
  <c r="N62" i="16"/>
  <c r="N61" i="16"/>
  <c r="D62" i="16"/>
  <c r="D61" i="16"/>
  <c r="B10" i="3"/>
  <c r="D30" i="16"/>
  <c r="D29" i="16"/>
  <c r="I2" i="9"/>
  <c r="Z47" i="3"/>
  <c r="U61" i="3"/>
  <c r="U51" i="3"/>
  <c r="F51" i="3"/>
  <c r="Z45" i="3"/>
  <c r="Z73" i="3"/>
  <c r="Z72" i="3"/>
  <c r="Z74" i="3"/>
  <c r="Y75" i="3"/>
  <c r="Z75" i="3" s="1"/>
  <c r="F60" i="3"/>
  <c r="A33" i="16"/>
  <c r="K53" i="16"/>
  <c r="H58" i="16"/>
  <c r="L64" i="16"/>
  <c r="N64" i="16" s="1"/>
  <c r="M58" i="16"/>
  <c r="D26" i="3"/>
  <c r="D25" i="3"/>
  <c r="D24" i="3"/>
  <c r="H59" i="16"/>
  <c r="J19" i="3"/>
  <c r="D59" i="16"/>
  <c r="D58" i="16"/>
  <c r="D21" i="3"/>
  <c r="D20" i="3"/>
  <c r="B64" i="16"/>
  <c r="D64" i="16" s="1"/>
  <c r="C58" i="16"/>
  <c r="B31" i="9"/>
  <c r="B30" i="9"/>
  <c r="B29" i="9"/>
  <c r="B28" i="9"/>
  <c r="I39" i="9"/>
  <c r="I38" i="9"/>
  <c r="I37" i="9"/>
  <c r="I36" i="9"/>
  <c r="I35" i="9"/>
  <c r="I34" i="9"/>
  <c r="I33" i="9"/>
  <c r="I32" i="9"/>
  <c r="I45" i="9"/>
  <c r="I44" i="9"/>
  <c r="I43" i="9"/>
  <c r="I42" i="9"/>
  <c r="I41" i="9"/>
  <c r="I40" i="9"/>
  <c r="I30" i="9"/>
  <c r="I29" i="9"/>
  <c r="I28" i="9"/>
  <c r="I26" i="9"/>
  <c r="I25" i="9"/>
  <c r="I24" i="9"/>
  <c r="I23" i="9"/>
  <c r="I22" i="9"/>
  <c r="I21" i="9"/>
  <c r="I20" i="9"/>
  <c r="I19" i="9"/>
  <c r="P5" i="4"/>
  <c r="AF41" i="3" s="1"/>
  <c r="I9" i="4"/>
  <c r="P7" i="4"/>
  <c r="G20" i="17" s="1"/>
  <c r="P6" i="4"/>
  <c r="F72" i="17" s="1"/>
  <c r="G39" i="17"/>
  <c r="G65" i="17"/>
  <c r="Z50" i="1"/>
  <c r="T11" i="2"/>
  <c r="T12" i="2" s="1"/>
  <c r="H14" i="2" s="1"/>
  <c r="F21" i="2" s="1"/>
  <c r="M12" i="20" s="1"/>
  <c r="S67" i="16"/>
  <c r="Q2" i="1"/>
  <c r="T81" i="16"/>
  <c r="S81" i="16" s="1"/>
  <c r="Z48" i="3"/>
  <c r="W48" i="3" s="1"/>
  <c r="X48" i="3" s="1"/>
  <c r="C64" i="3"/>
  <c r="C23" i="3"/>
  <c r="C26" i="16"/>
  <c r="C13" i="16"/>
  <c r="M11" i="16"/>
  <c r="AE46" i="3"/>
  <c r="AA45" i="3"/>
  <c r="G68" i="16"/>
  <c r="G67" i="16"/>
  <c r="W76" i="3"/>
  <c r="X75" i="3"/>
  <c r="X74" i="3"/>
  <c r="X73" i="3"/>
  <c r="X72" i="3"/>
  <c r="AD78" i="3"/>
  <c r="AI88" i="3"/>
  <c r="AH88" i="3"/>
  <c r="AJ88" i="3" s="1"/>
  <c r="AI87" i="3"/>
  <c r="AH87" i="3"/>
  <c r="AJ87" i="3" s="1"/>
  <c r="AI86" i="3"/>
  <c r="AH86" i="3"/>
  <c r="AJ86" i="3" s="1"/>
  <c r="AI85" i="3"/>
  <c r="AH85" i="3"/>
  <c r="AJ85" i="3" s="1"/>
  <c r="AI84" i="3"/>
  <c r="AH84" i="3"/>
  <c r="AJ84" i="3" s="1"/>
  <c r="AI83" i="3"/>
  <c r="AH83" i="3"/>
  <c r="AJ83" i="3" s="1"/>
  <c r="AI82" i="3"/>
  <c r="AH82" i="3"/>
  <c r="AJ82" i="3" s="1"/>
  <c r="Z78" i="3"/>
  <c r="Z77" i="3"/>
  <c r="B65" i="3"/>
  <c r="B56" i="3"/>
  <c r="C56" i="3" s="1"/>
  <c r="L29" i="1"/>
  <c r="B43" i="9"/>
  <c r="B53" i="9"/>
  <c r="B52" i="9"/>
  <c r="B51" i="9"/>
  <c r="B50" i="9"/>
  <c r="B49" i="9"/>
  <c r="B48" i="9"/>
  <c r="B47" i="9"/>
  <c r="B46" i="9"/>
  <c r="B45" i="9"/>
  <c r="B44" i="9"/>
  <c r="B42" i="9"/>
  <c r="B41" i="9"/>
  <c r="B40" i="9"/>
  <c r="B38" i="9"/>
  <c r="B39" i="9"/>
  <c r="B27" i="9"/>
  <c r="B26" i="9"/>
  <c r="D17" i="16"/>
  <c r="N15" i="16"/>
  <c r="N14" i="16"/>
  <c r="N12" i="16"/>
  <c r="N20" i="16"/>
  <c r="K15" i="1"/>
  <c r="D10" i="3"/>
  <c r="D23" i="3" s="1"/>
  <c r="Z46" i="3"/>
  <c r="X46" i="3" s="1"/>
  <c r="T7" i="3"/>
  <c r="I12" i="9" s="1"/>
  <c r="R5" i="3"/>
  <c r="T5" i="3" s="1"/>
  <c r="I10" i="9" s="1"/>
  <c r="T4" i="3"/>
  <c r="S4" i="3"/>
  <c r="R4" i="3"/>
  <c r="I5" i="3"/>
  <c r="I10" i="3" s="1"/>
  <c r="H10" i="3"/>
  <c r="G5" i="3"/>
  <c r="G10" i="3" s="1"/>
  <c r="L28" i="1"/>
  <c r="S27" i="1"/>
  <c r="R27" i="1" s="1"/>
  <c r="P97" i="1" s="1"/>
  <c r="S26" i="1"/>
  <c r="Q27" i="1"/>
  <c r="P27" i="1" s="1"/>
  <c r="P95" i="1" s="1"/>
  <c r="Q26" i="1"/>
  <c r="P26" i="1" s="1"/>
  <c r="P81" i="1" s="1"/>
  <c r="T80" i="16"/>
  <c r="C53" i="1"/>
  <c r="D26" i="1" s="1"/>
  <c r="P108" i="1"/>
  <c r="Q5" i="1"/>
  <c r="P94" i="1"/>
  <c r="P80" i="1"/>
  <c r="P66" i="1"/>
  <c r="E74" i="17"/>
  <c r="E73" i="17"/>
  <c r="E52" i="17"/>
  <c r="E51" i="17"/>
  <c r="E29" i="17"/>
  <c r="E28" i="17"/>
  <c r="D16" i="17"/>
  <c r="D17" i="17"/>
  <c r="D18" i="17"/>
  <c r="D19" i="17"/>
  <c r="D20" i="17"/>
  <c r="D21" i="17"/>
  <c r="D22" i="17"/>
  <c r="D23" i="17"/>
  <c r="D24" i="17"/>
  <c r="D25" i="17"/>
  <c r="D26" i="17"/>
  <c r="D27" i="17"/>
  <c r="D39" i="17"/>
  <c r="D40" i="17"/>
  <c r="D41" i="17"/>
  <c r="D42" i="17"/>
  <c r="D43" i="17"/>
  <c r="D44" i="17"/>
  <c r="D45" i="17"/>
  <c r="D46" i="17"/>
  <c r="D47" i="17"/>
  <c r="D48" i="17"/>
  <c r="D49" i="17"/>
  <c r="D50" i="17"/>
  <c r="D61" i="17"/>
  <c r="D62" i="17"/>
  <c r="D63" i="17"/>
  <c r="D64" i="17"/>
  <c r="D65" i="17"/>
  <c r="D66" i="17"/>
  <c r="D67" i="17"/>
  <c r="D68" i="17"/>
  <c r="D69" i="17"/>
  <c r="D70" i="17"/>
  <c r="D71" i="17"/>
  <c r="D72" i="17"/>
  <c r="B2" i="9"/>
  <c r="B3" i="9"/>
  <c r="I3" i="9"/>
  <c r="B4" i="9"/>
  <c r="B5" i="9"/>
  <c r="B6" i="9"/>
  <c r="B7" i="9"/>
  <c r="B8" i="9"/>
  <c r="B9" i="9"/>
  <c r="B10" i="9"/>
  <c r="B11" i="9"/>
  <c r="B12" i="9"/>
  <c r="B13" i="9"/>
  <c r="B14" i="9"/>
  <c r="B15" i="9"/>
  <c r="B16" i="9"/>
  <c r="B17" i="9"/>
  <c r="B18" i="9"/>
  <c r="B19" i="9"/>
  <c r="B20" i="9"/>
  <c r="B21" i="9"/>
  <c r="B22" i="9"/>
  <c r="B23" i="9"/>
  <c r="B24" i="9"/>
  <c r="B25" i="9"/>
  <c r="B32" i="9"/>
  <c r="B33" i="9"/>
  <c r="B34"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19" i="16"/>
  <c r="D19" i="16" s="1"/>
  <c r="I46" i="9"/>
  <c r="B32" i="16"/>
  <c r="D32" i="16" s="1"/>
  <c r="I31" i="9"/>
  <c r="T78" i="16"/>
  <c r="S78" i="16" s="1"/>
  <c r="T79" i="16"/>
  <c r="A4" i="2"/>
  <c r="H13" i="2"/>
  <c r="H15" i="2" s="1"/>
  <c r="K12" i="1"/>
  <c r="I57" i="1" s="1"/>
  <c r="J43" i="1"/>
  <c r="C45" i="1"/>
  <c r="I44" i="1"/>
  <c r="J44" i="1"/>
  <c r="C46" i="1"/>
  <c r="I45" i="1"/>
  <c r="J45" i="1"/>
  <c r="I46" i="1"/>
  <c r="J46" i="1"/>
  <c r="C48" i="1"/>
  <c r="I47" i="1"/>
  <c r="J47" i="1"/>
  <c r="C49" i="1"/>
  <c r="I49" i="1"/>
  <c r="J49" i="1"/>
  <c r="I50" i="1"/>
  <c r="J50" i="1"/>
  <c r="I51" i="1"/>
  <c r="J51" i="1"/>
  <c r="I52" i="1"/>
  <c r="J52" i="1"/>
  <c r="J53" i="1"/>
  <c r="J54" i="1"/>
  <c r="I55" i="1"/>
  <c r="J55" i="1"/>
  <c r="I56" i="1"/>
  <c r="J56" i="1"/>
  <c r="J57" i="1"/>
  <c r="K59" i="1"/>
  <c r="AA40" i="1"/>
  <c r="AA54" i="1"/>
  <c r="N11" i="16"/>
  <c r="D8" i="3"/>
  <c r="I6" i="9" s="1"/>
  <c r="I4" i="9"/>
  <c r="N18" i="16"/>
  <c r="D26" i="16"/>
  <c r="D16" i="16"/>
  <c r="D12" i="3"/>
  <c r="D14" i="16"/>
  <c r="D7" i="3"/>
  <c r="I5" i="9" s="1"/>
  <c r="D27" i="16"/>
  <c r="D13" i="3"/>
  <c r="F68" i="17" l="1"/>
  <c r="F24" i="17"/>
  <c r="F42" i="17"/>
  <c r="J42" i="17" s="1"/>
  <c r="P14" i="1"/>
  <c r="F61" i="17"/>
  <c r="J61" i="17" s="1"/>
  <c r="F71" i="17"/>
  <c r="J71" i="17" s="1"/>
  <c r="F45" i="17"/>
  <c r="G46" i="17"/>
  <c r="L46" i="17" s="1"/>
  <c r="F18" i="17"/>
  <c r="J18" i="17" s="1"/>
  <c r="G26" i="17"/>
  <c r="L26" i="17" s="1"/>
  <c r="F48" i="17"/>
  <c r="J48" i="17" s="1"/>
  <c r="F21" i="17"/>
  <c r="J21" i="17" s="1"/>
  <c r="I59" i="1"/>
  <c r="C90" i="1"/>
  <c r="C91" i="1" s="1"/>
  <c r="C92" i="1" s="1"/>
  <c r="I27" i="9"/>
  <c r="B51" i="11"/>
  <c r="B52" i="11"/>
  <c r="B50" i="11"/>
  <c r="G64" i="17"/>
  <c r="L64" i="17" s="1"/>
  <c r="G40" i="17"/>
  <c r="L40" i="17" s="1"/>
  <c r="G69" i="17"/>
  <c r="L69" i="17" s="1"/>
  <c r="G47" i="17"/>
  <c r="L47" i="17" s="1"/>
  <c r="G17" i="17"/>
  <c r="L17" i="17" s="1"/>
  <c r="A2" i="3"/>
  <c r="G62" i="17"/>
  <c r="L62" i="17" s="1"/>
  <c r="G23" i="17"/>
  <c r="L23" i="17" s="1"/>
  <c r="G67" i="17"/>
  <c r="L67" i="17" s="1"/>
  <c r="G43" i="17"/>
  <c r="G16" i="17"/>
  <c r="L16" i="17" s="1"/>
  <c r="F27" i="17"/>
  <c r="J27" i="17" s="1"/>
  <c r="F41" i="17"/>
  <c r="J41" i="17" s="1"/>
  <c r="F44" i="17"/>
  <c r="J44" i="17" s="1"/>
  <c r="F47" i="17"/>
  <c r="J47" i="17" s="1"/>
  <c r="G72" i="17"/>
  <c r="L72" i="17" s="1"/>
  <c r="G66" i="17"/>
  <c r="L66" i="17" s="1"/>
  <c r="G44" i="17"/>
  <c r="L44" i="17" s="1"/>
  <c r="G22" i="17"/>
  <c r="L22" i="17" s="1"/>
  <c r="G49" i="17"/>
  <c r="L49" i="17" s="1"/>
  <c r="G21" i="17"/>
  <c r="L21" i="17" s="1"/>
  <c r="F64" i="17"/>
  <c r="J64" i="17" s="1"/>
  <c r="F67" i="17"/>
  <c r="J67" i="17" s="1"/>
  <c r="F70" i="17"/>
  <c r="J70" i="17" s="1"/>
  <c r="F17" i="17"/>
  <c r="J17" i="17" s="1"/>
  <c r="F20" i="17"/>
  <c r="J20" i="17" s="1"/>
  <c r="AK83" i="3"/>
  <c r="AL83" i="3" s="1"/>
  <c r="AK87" i="3"/>
  <c r="AL87" i="3" s="1"/>
  <c r="C66" i="16"/>
  <c r="AA79" i="3"/>
  <c r="S41" i="3"/>
  <c r="M66" i="16" s="1"/>
  <c r="G70" i="17"/>
  <c r="L70" i="17" s="1"/>
  <c r="G48" i="17"/>
  <c r="L48" i="17" s="1"/>
  <c r="G27" i="17"/>
  <c r="L27" i="17" s="1"/>
  <c r="G18" i="17"/>
  <c r="L18" i="17" s="1"/>
  <c r="G61" i="17"/>
  <c r="L61" i="17" s="1"/>
  <c r="G41" i="17"/>
  <c r="L41" i="17" s="1"/>
  <c r="G24" i="17"/>
  <c r="L24" i="17" s="1"/>
  <c r="L39" i="17"/>
  <c r="AK86" i="3"/>
  <c r="AL86" i="3" s="1"/>
  <c r="G68" i="17"/>
  <c r="L68" i="17" s="1"/>
  <c r="G50" i="17"/>
  <c r="L50" i="17" s="1"/>
  <c r="G42" i="17"/>
  <c r="L42" i="17" s="1"/>
  <c r="G19" i="17"/>
  <c r="L19" i="17" s="1"/>
  <c r="G71" i="17"/>
  <c r="L71" i="17" s="1"/>
  <c r="G63" i="17"/>
  <c r="L63" i="17" s="1"/>
  <c r="G45" i="17"/>
  <c r="L45" i="17" s="1"/>
  <c r="G25" i="17"/>
  <c r="L25" i="17" s="1"/>
  <c r="I18" i="9"/>
  <c r="C65" i="3"/>
  <c r="I14" i="9"/>
  <c r="C55" i="3"/>
  <c r="AK84" i="3"/>
  <c r="AL84" i="3" s="1"/>
  <c r="AK88" i="3"/>
  <c r="AK85" i="3"/>
  <c r="AL85" i="3" s="1"/>
  <c r="H66" i="16"/>
  <c r="F50" i="17"/>
  <c r="J50" i="17" s="1"/>
  <c r="F23" i="17"/>
  <c r="J23" i="17" s="1"/>
  <c r="F63" i="17"/>
  <c r="J63" i="17" s="1"/>
  <c r="F26" i="17"/>
  <c r="J26" i="17" s="1"/>
  <c r="F66" i="17"/>
  <c r="J66" i="17" s="1"/>
  <c r="F40" i="17"/>
  <c r="J40" i="17" s="1"/>
  <c r="F69" i="17"/>
  <c r="J69" i="17" s="1"/>
  <c r="F43" i="17"/>
  <c r="J43" i="17" s="1"/>
  <c r="F16" i="17"/>
  <c r="J16" i="17" s="1"/>
  <c r="F46" i="17"/>
  <c r="J46" i="17" s="1"/>
  <c r="F19" i="17"/>
  <c r="J19" i="17" s="1"/>
  <c r="F49" i="17"/>
  <c r="J49" i="17" s="1"/>
  <c r="F22" i="17"/>
  <c r="J22" i="17" s="1"/>
  <c r="F62" i="17"/>
  <c r="J62" i="17" s="1"/>
  <c r="F25" i="17"/>
  <c r="J25" i="17" s="1"/>
  <c r="F65" i="17"/>
  <c r="J65" i="17" s="1"/>
  <c r="F39" i="17"/>
  <c r="J39" i="17" s="1"/>
  <c r="R7" i="3"/>
  <c r="V76" i="3"/>
  <c r="AB77" i="3" s="1"/>
  <c r="H17" i="2"/>
  <c r="B47" i="1"/>
  <c r="J68" i="17"/>
  <c r="L65" i="17"/>
  <c r="D13" i="16"/>
  <c r="A27" i="1"/>
  <c r="AA20" i="3"/>
  <c r="AA40" i="3" s="1"/>
  <c r="O15" i="1"/>
  <c r="F27" i="1"/>
  <c r="X41" i="1" s="1"/>
  <c r="E27" i="1"/>
  <c r="P37" i="1" s="1"/>
  <c r="Y41" i="1"/>
  <c r="X53" i="1" s="1"/>
  <c r="C50" i="1"/>
  <c r="C27" i="1"/>
  <c r="I54" i="1"/>
  <c r="L43" i="17"/>
  <c r="J24" i="17"/>
  <c r="J45" i="17"/>
  <c r="L20" i="17"/>
  <c r="B66" i="16"/>
  <c r="R41" i="3"/>
  <c r="L66" i="16" s="1"/>
  <c r="A2" i="16"/>
  <c r="R26" i="1"/>
  <c r="P83" i="1" s="1"/>
  <c r="E26" i="1"/>
  <c r="P36" i="1" s="1"/>
  <c r="Q12" i="1"/>
  <c r="C52" i="1" s="1"/>
  <c r="D27" i="1" s="1"/>
  <c r="A25" i="1"/>
  <c r="F26" i="1"/>
  <c r="Q36" i="1" s="1"/>
  <c r="R25" i="1"/>
  <c r="C44" i="1"/>
  <c r="U76" i="3"/>
  <c r="AD76" i="3" s="1"/>
  <c r="J72" i="17"/>
  <c r="I17" i="9"/>
  <c r="I15" i="9"/>
  <c r="P98" i="1"/>
  <c r="P96" i="1"/>
  <c r="Z41" i="1"/>
  <c r="Z55" i="1" s="1"/>
  <c r="P82" i="1"/>
  <c r="P84" i="1"/>
  <c r="P110" i="1"/>
  <c r="P112" i="1"/>
  <c r="P67" i="1"/>
  <c r="U11" i="3"/>
  <c r="W45" i="3"/>
  <c r="X45" i="3" s="1"/>
  <c r="T1" i="16"/>
  <c r="AG44" i="3"/>
  <c r="J90" i="1"/>
  <c r="J91" i="1" s="1"/>
  <c r="J92" i="1" s="1"/>
  <c r="C47" i="1"/>
  <c r="F25" i="1"/>
  <c r="Q35" i="1" s="1"/>
  <c r="J59" i="1"/>
  <c r="AF44" i="3"/>
  <c r="E25" i="1"/>
  <c r="V10" i="3"/>
  <c r="AF45" i="3"/>
  <c r="X40" i="1" l="1"/>
  <c r="U19" i="2"/>
  <c r="K14" i="1"/>
  <c r="D94" i="1"/>
  <c r="D98" i="1" s="1"/>
  <c r="F94" i="1"/>
  <c r="F96" i="1" s="1"/>
  <c r="G94" i="1"/>
  <c r="G98" i="1" s="1"/>
  <c r="E94" i="1"/>
  <c r="E101" i="1" s="1"/>
  <c r="D11" i="3"/>
  <c r="AA41" i="1"/>
  <c r="AA55" i="1"/>
  <c r="AL88" i="3"/>
  <c r="AK89" i="3"/>
  <c r="AL89" i="3" s="1"/>
  <c r="H16" i="2"/>
  <c r="I27" i="1"/>
  <c r="Q37" i="1"/>
  <c r="Q40" i="1" s="1"/>
  <c r="L30" i="17"/>
  <c r="Y55" i="1"/>
  <c r="M27" i="1" s="1"/>
  <c r="Q31" i="1"/>
  <c r="U12" i="3"/>
  <c r="U13" i="3" s="1"/>
  <c r="L52" i="17"/>
  <c r="L74" i="17"/>
  <c r="L28" i="17"/>
  <c r="L53" i="17"/>
  <c r="L51" i="17"/>
  <c r="J52" i="17"/>
  <c r="L29" i="17"/>
  <c r="J29" i="17"/>
  <c r="G66" i="16"/>
  <c r="B6" i="3"/>
  <c r="L67" i="16"/>
  <c r="M67" i="16"/>
  <c r="L69" i="16"/>
  <c r="Q30" i="1"/>
  <c r="B30" i="3"/>
  <c r="B35" i="16" s="1"/>
  <c r="P20" i="1"/>
  <c r="S20" i="1" s="1"/>
  <c r="I26" i="1"/>
  <c r="L73" i="17"/>
  <c r="L75" i="17"/>
  <c r="J73" i="17"/>
  <c r="J28" i="17"/>
  <c r="P11" i="1"/>
  <c r="P16" i="1" s="1"/>
  <c r="K16" i="1" s="1"/>
  <c r="J76" i="1"/>
  <c r="J77" i="1" s="1"/>
  <c r="J78" i="1" s="1"/>
  <c r="C76" i="1"/>
  <c r="C77" i="1" s="1"/>
  <c r="C78" i="1" s="1"/>
  <c r="C51" i="1"/>
  <c r="D28" i="1" s="1"/>
  <c r="P111" i="1"/>
  <c r="P69" i="1"/>
  <c r="AJ76" i="3"/>
  <c r="M68" i="16" s="1"/>
  <c r="AI76" i="3"/>
  <c r="AB78" i="3"/>
  <c r="AE76" i="3"/>
  <c r="C71" i="16" s="1"/>
  <c r="Z76" i="3"/>
  <c r="AC76" i="3" s="1"/>
  <c r="B44" i="3" s="1"/>
  <c r="AK76" i="3"/>
  <c r="X76" i="3"/>
  <c r="AB76" i="3" s="1"/>
  <c r="V23" i="3" s="1"/>
  <c r="AH76" i="3"/>
  <c r="AL76" i="3"/>
  <c r="J74" i="17"/>
  <c r="J51" i="17"/>
  <c r="P99" i="1"/>
  <c r="P100" i="1"/>
  <c r="P70" i="1"/>
  <c r="P68" i="1"/>
  <c r="H23" i="16"/>
  <c r="H12" i="3"/>
  <c r="C70" i="16"/>
  <c r="B70" i="16"/>
  <c r="K35" i="16"/>
  <c r="F29" i="1"/>
  <c r="G23" i="16" s="1"/>
  <c r="M69" i="16"/>
  <c r="M94" i="1"/>
  <c r="M100" i="1" s="1"/>
  <c r="K94" i="1"/>
  <c r="K101" i="1" s="1"/>
  <c r="N94" i="1"/>
  <c r="N97" i="1" s="1"/>
  <c r="M17" i="16"/>
  <c r="N17" i="16" s="1"/>
  <c r="P35" i="1"/>
  <c r="C62" i="1"/>
  <c r="I25" i="1"/>
  <c r="Q29" i="1"/>
  <c r="E29" i="1"/>
  <c r="C104" i="1"/>
  <c r="C105" i="1" s="1"/>
  <c r="L94" i="1"/>
  <c r="Q39" i="1"/>
  <c r="AJ13" i="20" l="1"/>
  <c r="B10" i="20" s="1"/>
  <c r="C16" i="16" s="1"/>
  <c r="F23" i="2"/>
  <c r="H26" i="2" s="1"/>
  <c r="U24" i="2"/>
  <c r="F20" i="2" s="1"/>
  <c r="F30" i="2" s="1"/>
  <c r="M18" i="16" s="1"/>
  <c r="B8" i="3"/>
  <c r="D99" i="1"/>
  <c r="D101" i="1"/>
  <c r="D100" i="1"/>
  <c r="D97" i="1"/>
  <c r="D96" i="1"/>
  <c r="G99" i="1"/>
  <c r="F99" i="1"/>
  <c r="F101" i="1"/>
  <c r="F98" i="1"/>
  <c r="F97" i="1"/>
  <c r="F100" i="1"/>
  <c r="G96" i="1"/>
  <c r="G97" i="1"/>
  <c r="G101" i="1"/>
  <c r="G100" i="1"/>
  <c r="E96" i="1"/>
  <c r="E100" i="1"/>
  <c r="E97" i="1"/>
  <c r="E99" i="1"/>
  <c r="E98" i="1"/>
  <c r="X77" i="3"/>
  <c r="V2" i="3"/>
  <c r="C29" i="16"/>
  <c r="P17" i="1"/>
  <c r="R17" i="1" s="1"/>
  <c r="M20" i="16"/>
  <c r="J29" i="1"/>
  <c r="M29" i="1" s="1"/>
  <c r="G6" i="3"/>
  <c r="I6" i="3" s="1"/>
  <c r="I7" i="9" s="1"/>
  <c r="C67" i="16"/>
  <c r="L68" i="16"/>
  <c r="D25" i="1"/>
  <c r="B71" i="16"/>
  <c r="C44" i="3"/>
  <c r="C69" i="16" s="1"/>
  <c r="AA76" i="3"/>
  <c r="G12" i="3"/>
  <c r="I12" i="3" s="1"/>
  <c r="M98" i="1"/>
  <c r="M96" i="1"/>
  <c r="F80" i="1"/>
  <c r="F84" i="1" s="1"/>
  <c r="D80" i="1"/>
  <c r="D85" i="1" s="1"/>
  <c r="K96" i="1"/>
  <c r="N101" i="1"/>
  <c r="N99" i="1"/>
  <c r="N98" i="1"/>
  <c r="M80" i="1"/>
  <c r="M86" i="1" s="1"/>
  <c r="K99" i="1"/>
  <c r="N100" i="1"/>
  <c r="K97" i="1"/>
  <c r="M97" i="1"/>
  <c r="K100" i="1"/>
  <c r="M99" i="1"/>
  <c r="N96" i="1"/>
  <c r="M101" i="1"/>
  <c r="K80" i="1"/>
  <c r="K87" i="1" s="1"/>
  <c r="K98" i="1"/>
  <c r="C106" i="1"/>
  <c r="G108" i="1" s="1"/>
  <c r="G115" i="1" s="1"/>
  <c r="L80" i="1"/>
  <c r="C63" i="1"/>
  <c r="C64" i="1" s="1"/>
  <c r="J62" i="1"/>
  <c r="P40" i="1"/>
  <c r="J104" i="1"/>
  <c r="J105" i="1" s="1"/>
  <c r="J106" i="1" s="1"/>
  <c r="P39" i="1"/>
  <c r="G22" i="16"/>
  <c r="I23" i="16" s="1"/>
  <c r="G11" i="3"/>
  <c r="V13" i="3"/>
  <c r="B69" i="16"/>
  <c r="G80" i="1"/>
  <c r="E80" i="1"/>
  <c r="P85" i="1" s="1"/>
  <c r="N80" i="1"/>
  <c r="L100" i="1"/>
  <c r="L97" i="1"/>
  <c r="L98" i="1"/>
  <c r="L96" i="1"/>
  <c r="L99" i="1"/>
  <c r="L101" i="1"/>
  <c r="V12" i="3"/>
  <c r="L85" i="1" l="1"/>
  <c r="P86" i="1"/>
  <c r="D10" i="20"/>
  <c r="M10" i="20"/>
  <c r="F33" i="2"/>
  <c r="M12" i="16" s="1"/>
  <c r="B41" i="20"/>
  <c r="C46" i="16" s="1"/>
  <c r="K26" i="2"/>
  <c r="V34" i="2"/>
  <c r="W34" i="2" s="1"/>
  <c r="U73" i="20" s="1"/>
  <c r="B55" i="20" s="1"/>
  <c r="R6" i="3"/>
  <c r="T6" i="3" s="1"/>
  <c r="I11" i="9" s="1"/>
  <c r="AA38" i="1"/>
  <c r="X38" i="1" s="1"/>
  <c r="AA53" i="1"/>
  <c r="AA56" i="1" s="1"/>
  <c r="AA39" i="1"/>
  <c r="X39" i="1" s="1"/>
  <c r="B67" i="16"/>
  <c r="G8" i="3"/>
  <c r="I8" i="3" s="1"/>
  <c r="B37" i="9" s="1"/>
  <c r="P18" i="1"/>
  <c r="D84" i="1"/>
  <c r="D87" i="1"/>
  <c r="D86" i="1"/>
  <c r="D83" i="1"/>
  <c r="D82" i="1"/>
  <c r="B35" i="9"/>
  <c r="F87" i="1"/>
  <c r="F83" i="1"/>
  <c r="F86" i="1"/>
  <c r="F85" i="1"/>
  <c r="F82" i="1"/>
  <c r="C68" i="16"/>
  <c r="L83" i="1"/>
  <c r="L86" i="1"/>
  <c r="M84" i="1"/>
  <c r="M87" i="1"/>
  <c r="K82" i="1"/>
  <c r="M83" i="1"/>
  <c r="M82" i="1"/>
  <c r="K84" i="1"/>
  <c r="K85" i="1"/>
  <c r="L82" i="1"/>
  <c r="K83" i="1"/>
  <c r="K86" i="1"/>
  <c r="M85" i="1"/>
  <c r="E108" i="1"/>
  <c r="G111" i="1"/>
  <c r="G114" i="1"/>
  <c r="L84" i="1"/>
  <c r="Z40" i="1" s="1"/>
  <c r="Z54" i="1" s="1"/>
  <c r="L87" i="1"/>
  <c r="D108" i="1"/>
  <c r="D110" i="1" s="1"/>
  <c r="G113" i="1"/>
  <c r="G110" i="1"/>
  <c r="G112" i="1"/>
  <c r="F108" i="1"/>
  <c r="J63" i="1"/>
  <c r="N108" i="1"/>
  <c r="N114" i="1" s="1"/>
  <c r="E66" i="1"/>
  <c r="P71" i="1" s="1"/>
  <c r="F66" i="1"/>
  <c r="M108" i="1"/>
  <c r="M110" i="1" s="1"/>
  <c r="L108" i="1"/>
  <c r="K108" i="1"/>
  <c r="K113" i="1" s="1"/>
  <c r="G66" i="1"/>
  <c r="D66" i="1"/>
  <c r="E86" i="1"/>
  <c r="E87" i="1"/>
  <c r="E82" i="1"/>
  <c r="E83" i="1"/>
  <c r="E85" i="1"/>
  <c r="E84" i="1"/>
  <c r="G82" i="1"/>
  <c r="G85" i="1"/>
  <c r="G83" i="1"/>
  <c r="G86" i="1"/>
  <c r="G84" i="1"/>
  <c r="G87" i="1"/>
  <c r="N84" i="1"/>
  <c r="N86" i="1"/>
  <c r="N82" i="1"/>
  <c r="N85" i="1"/>
  <c r="N83" i="1"/>
  <c r="N87" i="1"/>
  <c r="Y40" i="1" l="1"/>
  <c r="Y54" i="1" s="1"/>
  <c r="M26" i="1" s="1"/>
  <c r="X42" i="1"/>
  <c r="E110" i="1"/>
  <c r="P113" i="1"/>
  <c r="L113" i="1"/>
  <c r="P114" i="1"/>
  <c r="Z39" i="1"/>
  <c r="Y39" i="1"/>
  <c r="Z63" i="3"/>
  <c r="B57" i="3" s="1"/>
  <c r="I16" i="9" s="1"/>
  <c r="AA42" i="1"/>
  <c r="B68" i="16"/>
  <c r="I9" i="9"/>
  <c r="E114" i="1"/>
  <c r="E115" i="1"/>
  <c r="E111" i="1"/>
  <c r="E113" i="1"/>
  <c r="E112" i="1"/>
  <c r="N115" i="1"/>
  <c r="M112" i="1"/>
  <c r="D111" i="1"/>
  <c r="D115" i="1"/>
  <c r="D113" i="1"/>
  <c r="D114" i="1"/>
  <c r="D112" i="1"/>
  <c r="N110" i="1"/>
  <c r="K111" i="1"/>
  <c r="K115" i="1"/>
  <c r="K114" i="1"/>
  <c r="K112" i="1"/>
  <c r="K110" i="1"/>
  <c r="F111" i="1"/>
  <c r="F113" i="1"/>
  <c r="F115" i="1"/>
  <c r="F112" i="1"/>
  <c r="F114" i="1"/>
  <c r="F110" i="1"/>
  <c r="N113" i="1"/>
  <c r="N112" i="1"/>
  <c r="N111" i="1"/>
  <c r="M114" i="1"/>
  <c r="M113" i="1"/>
  <c r="M111" i="1"/>
  <c r="F70" i="1"/>
  <c r="F68" i="1"/>
  <c r="F73" i="1"/>
  <c r="F69" i="1"/>
  <c r="F72" i="1"/>
  <c r="F71" i="1"/>
  <c r="L112" i="1"/>
  <c r="E68" i="1"/>
  <c r="E71" i="1"/>
  <c r="E69" i="1"/>
  <c r="E72" i="1"/>
  <c r="E73" i="1"/>
  <c r="E70" i="1"/>
  <c r="M115" i="1"/>
  <c r="L111" i="1"/>
  <c r="L110" i="1"/>
  <c r="L114" i="1"/>
  <c r="D68" i="1"/>
  <c r="D71" i="1"/>
  <c r="D70" i="1"/>
  <c r="D73" i="1"/>
  <c r="D69" i="1"/>
  <c r="D72" i="1"/>
  <c r="L115" i="1"/>
  <c r="G68" i="1"/>
  <c r="G73" i="1"/>
  <c r="G70" i="1"/>
  <c r="G72" i="1"/>
  <c r="G69" i="1"/>
  <c r="G71" i="1"/>
  <c r="J64" i="1"/>
  <c r="K66" i="1" s="1"/>
  <c r="Y38" i="1" l="1"/>
  <c r="Y53" i="1" s="1"/>
  <c r="G7" i="3"/>
  <c r="I7" i="3" s="1"/>
  <c r="B36" i="9" s="1"/>
  <c r="L66" i="1"/>
  <c r="M66" i="1"/>
  <c r="N66" i="1"/>
  <c r="K68" i="1"/>
  <c r="K72" i="1"/>
  <c r="K73" i="1"/>
  <c r="K70" i="1"/>
  <c r="K71" i="1"/>
  <c r="K69" i="1"/>
  <c r="L69" i="1" l="1"/>
  <c r="P72" i="1"/>
  <c r="Y42" i="1"/>
  <c r="M25" i="1"/>
  <c r="M28" i="1" s="1"/>
  <c r="Y56" i="1"/>
  <c r="I8" i="9"/>
  <c r="L68" i="1"/>
  <c r="L70" i="1"/>
  <c r="L72" i="1"/>
  <c r="L73" i="1"/>
  <c r="L71" i="1"/>
  <c r="N71" i="1"/>
  <c r="N68" i="1"/>
  <c r="N70" i="1"/>
  <c r="N73" i="1"/>
  <c r="N72" i="1"/>
  <c r="N69" i="1"/>
  <c r="M68" i="1"/>
  <c r="M72" i="1"/>
  <c r="M70" i="1"/>
  <c r="M69" i="1"/>
  <c r="M73" i="1"/>
  <c r="M71" i="1"/>
  <c r="Z38" i="1" s="1"/>
  <c r="T9" i="3"/>
  <c r="T8" i="3"/>
  <c r="I13" i="9" s="1"/>
  <c r="Z53" i="1" l="1"/>
  <c r="Z56" i="1" s="1"/>
  <c r="Z42" i="1"/>
  <c r="M13" i="20" l="1"/>
  <c r="O13" i="20" s="1"/>
  <c r="F31" i="2"/>
  <c r="U21" i="2"/>
  <c r="V7" i="3"/>
  <c r="U23" i="2"/>
  <c r="R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Oubre, Steve (GE Healthcare)</author>
    <author>tc={9C95249B-3368-4206-9139-654D904B2007}</author>
    <author>Steven J. Oubre</author>
    <author xml:space="preserve"> Alexander Nier</author>
  </authors>
  <commentList>
    <comment ref="M11" authorId="0" shapeId="0" xr:uid="{00000000-0006-0000-0200-000001000000}">
      <text>
        <r>
          <rPr>
            <b/>
            <sz val="9"/>
            <color indexed="81"/>
            <rFont val="Tahoma"/>
            <family val="2"/>
          </rPr>
          <t>Is anti-virus software loaded on the database server and is it enabled?</t>
        </r>
        <r>
          <rPr>
            <sz val="9"/>
            <color indexed="81"/>
            <rFont val="Tahoma"/>
            <family val="2"/>
          </rPr>
          <t xml:space="preserve">
</t>
        </r>
      </text>
    </comment>
    <comment ref="K17" authorId="1" shapeId="0" xr:uid="{9C95249B-3368-4206-9139-654D904B2007}">
      <text>
        <t>[Threaded comment]
Your version of Excel allows you to read this threaded comment; however, any edits to it will get removed if the file is opened in a newer version of Excel. Learn more: https://go.microsoft.com/fwlink/?linkid=870924
Comment:
    Please enter the exisitng DB size under row 5</t>
      </text>
    </comment>
    <comment ref="L22" authorId="0" shapeId="0" xr:uid="{00000000-0006-0000-0200-000002000000}">
      <text>
        <r>
          <rPr>
            <b/>
            <sz val="9"/>
            <color indexed="81"/>
            <rFont val="Tahoma"/>
            <family val="2"/>
          </rPr>
          <t>If configuring for new storage, leave "Current Hard disk Count" blank unless new storage is available / installed.</t>
        </r>
        <r>
          <rPr>
            <sz val="9"/>
            <color indexed="81"/>
            <rFont val="Tahoma"/>
            <family val="2"/>
          </rPr>
          <t xml:space="preserve">
</t>
        </r>
      </text>
    </comment>
    <comment ref="J24" authorId="2" shapeId="0" xr:uid="{00000000-0006-0000-0200-000003000000}">
      <text>
        <r>
          <rPr>
            <b/>
            <sz val="8"/>
            <color indexed="81"/>
            <rFont val="Tahoma"/>
            <family val="2"/>
          </rPr>
          <t>Hard disk type</t>
        </r>
        <r>
          <rPr>
            <sz val="8"/>
            <color indexed="81"/>
            <rFont val="Tahoma"/>
            <family val="2"/>
          </rPr>
          <t xml:space="preserve">
</t>
        </r>
      </text>
    </comment>
    <comment ref="M24" authorId="0" shapeId="0" xr:uid="{00000000-0006-0000-0200-000004000000}">
      <text>
        <r>
          <rPr>
            <b/>
            <sz val="9"/>
            <color indexed="81"/>
            <rFont val="Tahoma"/>
            <family val="2"/>
          </rPr>
          <t>This is an estimated spindle count to accommodate the projected IOPS load.  Please work with your storage vendor to validate that your storage system configuration will handle the IOPS load.</t>
        </r>
      </text>
    </comment>
    <comment ref="I28" authorId="0" shapeId="0" xr:uid="{00000000-0006-0000-0200-000005000000}">
      <text>
        <r>
          <rPr>
            <b/>
            <sz val="9"/>
            <color indexed="81"/>
            <rFont val="Tahoma"/>
            <family val="2"/>
          </rPr>
          <t>Storage type refers to the type of storage that the database files reside on.</t>
        </r>
        <r>
          <rPr>
            <sz val="9"/>
            <color indexed="81"/>
            <rFont val="Tahoma"/>
            <family val="2"/>
          </rPr>
          <t xml:space="preserve">
</t>
        </r>
        <r>
          <rPr>
            <b/>
            <sz val="9"/>
            <color indexed="81"/>
            <rFont val="Tahoma"/>
            <family val="2"/>
          </rPr>
          <t>Storage types are: 
- Internal storage, 
- Direct Attached Storage (DAS / JBOD) typically with an external SAS connection, 
- Storage Area Network (SAN)</t>
        </r>
      </text>
    </comment>
    <comment ref="J28" authorId="0" shapeId="0" xr:uid="{00000000-0006-0000-0200-000006000000}">
      <text>
        <r>
          <rPr>
            <b/>
            <sz val="9"/>
            <color indexed="81"/>
            <rFont val="Tahoma"/>
            <family val="2"/>
          </rPr>
          <t>Total Interface Throughput in Gb / sec</t>
        </r>
        <r>
          <rPr>
            <sz val="9"/>
            <color indexed="81"/>
            <rFont val="Tahoma"/>
            <family val="2"/>
          </rPr>
          <t xml:space="preserve">
</t>
        </r>
      </text>
    </comment>
    <comment ref="K28" authorId="2" shapeId="0" xr:uid="{00000000-0006-0000-0200-000007000000}">
      <text>
        <r>
          <rPr>
            <b/>
            <sz val="10"/>
            <color rgb="FF000000"/>
            <rFont val="Tahoma"/>
            <family val="2"/>
          </rPr>
          <t>Total number of estimated harddisk spindles</t>
        </r>
        <r>
          <rPr>
            <sz val="8"/>
            <color rgb="FF000000"/>
            <rFont val="Tahoma"/>
            <family val="2"/>
          </rPr>
          <t xml:space="preserve">
</t>
        </r>
      </text>
    </comment>
    <comment ref="I29" authorId="0" shapeId="0" xr:uid="{00000000-0006-0000-0200-000008000000}">
      <text>
        <r>
          <rPr>
            <b/>
            <sz val="9"/>
            <color indexed="81"/>
            <rFont val="Tahoma"/>
            <family val="2"/>
          </rPr>
          <t>Interface controller type refers to the type of controller connecting to the database storage.</t>
        </r>
        <r>
          <rPr>
            <sz val="9"/>
            <color indexed="81"/>
            <rFont val="Tahoma"/>
            <family val="2"/>
          </rPr>
          <t xml:space="preserve">
</t>
        </r>
        <r>
          <rPr>
            <b/>
            <sz val="9"/>
            <color indexed="81"/>
            <rFont val="Tahoma"/>
            <family val="2"/>
          </rPr>
          <t>Types of controllers are: 
SATA rev 1 (not recommended), 1.5 Gb/sec max,~1.2 Gb/sec actual
SATA rev 2, 3 Gb/sec max, ~2.4 Gb/sec actual
SATA rev 3, 6 Gb/sec max, ~4.8 Gb/sec actual
3 Gb/sec (3G) SAS, 
6 Gb/sec (6G) SAS, 
1G iSCSI (1 Gb/sec) - 1 single 1Gb NIC, 
2G iSCSI (2 Gb/sec) - 2 x 1Gb NIC ports teamed, 
3G iSCSI (3 Gb/sec) - 3 x 1Gb NIC ports teamed, 
4G iSCSI (4 Gb/sec) - 4 x 1Gb NIC ports teamed, 
10G iSCSI (10 Gb/sec) - 10 Gb NIC, 
4 Gb/sec Fiber Channel (FC),
8 Gb/sec Fiber Channel (FC)</t>
        </r>
      </text>
    </comment>
    <comment ref="I30" authorId="0" shapeId="0" xr:uid="{00000000-0006-0000-0200-000009000000}">
      <text>
        <r>
          <rPr>
            <b/>
            <sz val="9"/>
            <color indexed="81"/>
            <rFont val="Tahoma"/>
            <family val="2"/>
          </rPr>
          <t>Select your SAN (Storage Area Network) manufacturer. Choices are:</t>
        </r>
        <r>
          <rPr>
            <sz val="9"/>
            <color indexed="81"/>
            <rFont val="Tahoma"/>
            <family val="2"/>
          </rPr>
          <t xml:space="preserve">
</t>
        </r>
        <r>
          <rPr>
            <b/>
            <sz val="9"/>
            <color indexed="81"/>
            <rFont val="Tahoma"/>
            <family val="2"/>
          </rPr>
          <t>EMC
NetApp
Smart Flash Controller SAN Head (other 3rd party SAN mfg.)
No Caching Controller SAN Head (JBOD storage)</t>
        </r>
      </text>
    </comment>
    <comment ref="Y34" authorId="0" shapeId="0" xr:uid="{00000000-0006-0000-0200-00000A000000}">
      <text>
        <r>
          <rPr>
            <b/>
            <sz val="9"/>
            <color indexed="81"/>
            <rFont val="Tahoma"/>
            <family val="2"/>
          </rPr>
          <t>Disk counts calculated do not take into account SAN controller / head performance gains.</t>
        </r>
        <r>
          <rPr>
            <sz val="9"/>
            <color indexed="81"/>
            <rFont val="Tahoma"/>
            <family val="2"/>
          </rPr>
          <t xml:space="preserve">
</t>
        </r>
      </text>
    </comment>
    <comment ref="X37" authorId="0" shapeId="0" xr:uid="{00000000-0006-0000-0200-00000B000000}">
      <text>
        <r>
          <rPr>
            <b/>
            <sz val="9"/>
            <color indexed="81"/>
            <rFont val="Tahoma"/>
            <family val="2"/>
          </rPr>
          <t>- Drive count: assumes 1 parity per 8 drives and 1 global spare</t>
        </r>
        <r>
          <rPr>
            <sz val="9"/>
            <color indexed="81"/>
            <rFont val="Tahoma"/>
            <family val="2"/>
          </rPr>
          <t xml:space="preserve">
</t>
        </r>
      </text>
    </comment>
    <comment ref="D65" authorId="3" shapeId="0" xr:uid="{00000000-0006-0000-0200-00000C000000}">
      <text>
        <r>
          <rPr>
            <b/>
            <sz val="8"/>
            <color indexed="81"/>
            <rFont val="Tahoma"/>
            <family val="2"/>
          </rPr>
          <t xml:space="preserve">Write Penalty: 2
</t>
        </r>
        <r>
          <rPr>
            <sz val="8"/>
            <color indexed="81"/>
            <rFont val="Tahoma"/>
            <family val="2"/>
          </rPr>
          <t>each Write IO is multiplied by 2</t>
        </r>
      </text>
    </comment>
    <comment ref="E65" authorId="3" shapeId="0" xr:uid="{00000000-0006-0000-0200-00000D000000}">
      <text>
        <r>
          <rPr>
            <b/>
            <sz val="8"/>
            <color indexed="81"/>
            <rFont val="Tahoma"/>
            <family val="2"/>
          </rPr>
          <t xml:space="preserve">Write Penalty: 4
</t>
        </r>
        <r>
          <rPr>
            <sz val="8"/>
            <color indexed="81"/>
            <rFont val="Tahoma"/>
            <family val="2"/>
          </rPr>
          <t>each Write IO is multiplied by 4</t>
        </r>
      </text>
    </comment>
    <comment ref="F65" authorId="3" shapeId="0" xr:uid="{00000000-0006-0000-0200-00000E000000}">
      <text>
        <r>
          <rPr>
            <b/>
            <sz val="8"/>
            <color indexed="81"/>
            <rFont val="Tahoma"/>
            <family val="2"/>
          </rPr>
          <t xml:space="preserve">Write Penalty: 6
</t>
        </r>
        <r>
          <rPr>
            <sz val="8"/>
            <color indexed="81"/>
            <rFont val="Tahoma"/>
            <family val="2"/>
          </rPr>
          <t xml:space="preserve">
each Write IO is multiplied by 6</t>
        </r>
      </text>
    </comment>
    <comment ref="G65" authorId="3" shapeId="0" xr:uid="{00000000-0006-0000-0200-00000F000000}">
      <text>
        <r>
          <rPr>
            <b/>
            <sz val="8"/>
            <color indexed="81"/>
            <rFont val="Tahoma"/>
            <family val="2"/>
          </rPr>
          <t xml:space="preserve">Write Penalty: 2
</t>
        </r>
        <r>
          <rPr>
            <sz val="8"/>
            <color indexed="81"/>
            <rFont val="Tahoma"/>
            <family val="2"/>
          </rPr>
          <t>each Write IO is multiplied by 2</t>
        </r>
      </text>
    </comment>
    <comment ref="K65" authorId="3" shapeId="0" xr:uid="{00000000-0006-0000-0200-000010000000}">
      <text>
        <r>
          <rPr>
            <b/>
            <sz val="8"/>
            <color indexed="81"/>
            <rFont val="Tahoma"/>
            <family val="2"/>
          </rPr>
          <t xml:space="preserve">Write Penalty: 2
</t>
        </r>
        <r>
          <rPr>
            <sz val="8"/>
            <color indexed="81"/>
            <rFont val="Tahoma"/>
            <family val="2"/>
          </rPr>
          <t>each Write IO is multiplied by 2</t>
        </r>
      </text>
    </comment>
    <comment ref="L65" authorId="3" shapeId="0" xr:uid="{00000000-0006-0000-0200-000011000000}">
      <text>
        <r>
          <rPr>
            <b/>
            <sz val="8"/>
            <color indexed="81"/>
            <rFont val="Tahoma"/>
            <family val="2"/>
          </rPr>
          <t xml:space="preserve">Write Penalty: 4
</t>
        </r>
        <r>
          <rPr>
            <sz val="8"/>
            <color indexed="81"/>
            <rFont val="Tahoma"/>
            <family val="2"/>
          </rPr>
          <t>each Write IO is multiplied by 4</t>
        </r>
      </text>
    </comment>
    <comment ref="M65" authorId="3" shapeId="0" xr:uid="{00000000-0006-0000-0200-000012000000}">
      <text>
        <r>
          <rPr>
            <b/>
            <sz val="8"/>
            <color indexed="81"/>
            <rFont val="Tahoma"/>
            <family val="2"/>
          </rPr>
          <t xml:space="preserve">Write Penalty: 6
</t>
        </r>
        <r>
          <rPr>
            <sz val="8"/>
            <color indexed="81"/>
            <rFont val="Tahoma"/>
            <family val="2"/>
          </rPr>
          <t xml:space="preserve">
each Write IO is multiplied by 6</t>
        </r>
      </text>
    </comment>
    <comment ref="N65" authorId="3" shapeId="0" xr:uid="{00000000-0006-0000-0200-000013000000}">
      <text>
        <r>
          <rPr>
            <b/>
            <sz val="8"/>
            <color indexed="81"/>
            <rFont val="Tahoma"/>
            <family val="2"/>
          </rPr>
          <t xml:space="preserve">Write Penalty: 2
</t>
        </r>
        <r>
          <rPr>
            <sz val="8"/>
            <color indexed="81"/>
            <rFont val="Tahoma"/>
            <family val="2"/>
          </rPr>
          <t>each Write IO is multiplied by 2</t>
        </r>
      </text>
    </comment>
    <comment ref="D79" authorId="3" shapeId="0" xr:uid="{00000000-0006-0000-0200-000014000000}">
      <text>
        <r>
          <rPr>
            <b/>
            <sz val="8"/>
            <color indexed="81"/>
            <rFont val="Tahoma"/>
            <family val="2"/>
          </rPr>
          <t xml:space="preserve">Write Penalty: 2
</t>
        </r>
        <r>
          <rPr>
            <sz val="8"/>
            <color indexed="81"/>
            <rFont val="Tahoma"/>
            <family val="2"/>
          </rPr>
          <t>each Write IO is multiplied by 2</t>
        </r>
      </text>
    </comment>
    <comment ref="E79" authorId="3" shapeId="0" xr:uid="{00000000-0006-0000-0200-000015000000}">
      <text>
        <r>
          <rPr>
            <b/>
            <sz val="8"/>
            <color indexed="81"/>
            <rFont val="Tahoma"/>
            <family val="2"/>
          </rPr>
          <t xml:space="preserve">Write Penalty: 4
</t>
        </r>
        <r>
          <rPr>
            <sz val="8"/>
            <color indexed="81"/>
            <rFont val="Tahoma"/>
            <family val="2"/>
          </rPr>
          <t>each Write IO is multiplied by 4</t>
        </r>
      </text>
    </comment>
    <comment ref="F79" authorId="3" shapeId="0" xr:uid="{00000000-0006-0000-0200-000016000000}">
      <text>
        <r>
          <rPr>
            <b/>
            <sz val="8"/>
            <color indexed="81"/>
            <rFont val="Tahoma"/>
            <family val="2"/>
          </rPr>
          <t xml:space="preserve">Write Penalty: 6
</t>
        </r>
        <r>
          <rPr>
            <sz val="8"/>
            <color indexed="81"/>
            <rFont val="Tahoma"/>
            <family val="2"/>
          </rPr>
          <t xml:space="preserve">
each Write IO is multiplied by 6</t>
        </r>
      </text>
    </comment>
    <comment ref="G79" authorId="3" shapeId="0" xr:uid="{00000000-0006-0000-0200-000017000000}">
      <text>
        <r>
          <rPr>
            <b/>
            <sz val="8"/>
            <color indexed="81"/>
            <rFont val="Tahoma"/>
            <family val="2"/>
          </rPr>
          <t xml:space="preserve">Write Penalty: 2
</t>
        </r>
        <r>
          <rPr>
            <sz val="8"/>
            <color indexed="81"/>
            <rFont val="Tahoma"/>
            <family val="2"/>
          </rPr>
          <t>each Write IO is multiplied by 2</t>
        </r>
      </text>
    </comment>
    <comment ref="K79" authorId="3" shapeId="0" xr:uid="{00000000-0006-0000-0200-000018000000}">
      <text>
        <r>
          <rPr>
            <b/>
            <sz val="8"/>
            <color indexed="81"/>
            <rFont val="Tahoma"/>
            <family val="2"/>
          </rPr>
          <t xml:space="preserve">Write Penalty: 2
</t>
        </r>
        <r>
          <rPr>
            <sz val="8"/>
            <color indexed="81"/>
            <rFont val="Tahoma"/>
            <family val="2"/>
          </rPr>
          <t>each Write IO is multiplied by 2</t>
        </r>
      </text>
    </comment>
    <comment ref="L79" authorId="3" shapeId="0" xr:uid="{00000000-0006-0000-0200-000019000000}">
      <text>
        <r>
          <rPr>
            <b/>
            <sz val="8"/>
            <color indexed="81"/>
            <rFont val="Tahoma"/>
            <family val="2"/>
          </rPr>
          <t xml:space="preserve">Write Penalty: 4
</t>
        </r>
        <r>
          <rPr>
            <sz val="8"/>
            <color indexed="81"/>
            <rFont val="Tahoma"/>
            <family val="2"/>
          </rPr>
          <t>each Write IO is multiplied by 4</t>
        </r>
      </text>
    </comment>
    <comment ref="M79" authorId="3" shapeId="0" xr:uid="{00000000-0006-0000-0200-00001A000000}">
      <text>
        <r>
          <rPr>
            <b/>
            <sz val="8"/>
            <color indexed="81"/>
            <rFont val="Tahoma"/>
            <family val="2"/>
          </rPr>
          <t xml:space="preserve">Write Penalty: 6
</t>
        </r>
        <r>
          <rPr>
            <sz val="8"/>
            <color indexed="81"/>
            <rFont val="Tahoma"/>
            <family val="2"/>
          </rPr>
          <t xml:space="preserve">
each Write IO is multiplied by 6</t>
        </r>
      </text>
    </comment>
    <comment ref="N79" authorId="3" shapeId="0" xr:uid="{00000000-0006-0000-0200-00001B000000}">
      <text>
        <r>
          <rPr>
            <b/>
            <sz val="8"/>
            <color indexed="81"/>
            <rFont val="Tahoma"/>
            <family val="2"/>
          </rPr>
          <t xml:space="preserve">Write Penalty: 2
</t>
        </r>
        <r>
          <rPr>
            <sz val="8"/>
            <color indexed="81"/>
            <rFont val="Tahoma"/>
            <family val="2"/>
          </rPr>
          <t>each Write IO is multiplied by 2</t>
        </r>
      </text>
    </comment>
    <comment ref="D93" authorId="3" shapeId="0" xr:uid="{00000000-0006-0000-0200-00001C000000}">
      <text>
        <r>
          <rPr>
            <b/>
            <sz val="8"/>
            <color indexed="81"/>
            <rFont val="Tahoma"/>
            <family val="2"/>
          </rPr>
          <t xml:space="preserve">Write Penalty: 2
</t>
        </r>
        <r>
          <rPr>
            <sz val="8"/>
            <color indexed="81"/>
            <rFont val="Tahoma"/>
            <family val="2"/>
          </rPr>
          <t>each Write IO is multiplied by 2</t>
        </r>
      </text>
    </comment>
    <comment ref="E93" authorId="3" shapeId="0" xr:uid="{00000000-0006-0000-0200-00001D000000}">
      <text>
        <r>
          <rPr>
            <b/>
            <sz val="8"/>
            <color indexed="81"/>
            <rFont val="Tahoma"/>
            <family val="2"/>
          </rPr>
          <t xml:space="preserve">Write Penalty: 4
</t>
        </r>
        <r>
          <rPr>
            <sz val="8"/>
            <color indexed="81"/>
            <rFont val="Tahoma"/>
            <family val="2"/>
          </rPr>
          <t>each Write IO is multiplied by 4</t>
        </r>
      </text>
    </comment>
    <comment ref="F93" authorId="3" shapeId="0" xr:uid="{00000000-0006-0000-0200-00001E000000}">
      <text>
        <r>
          <rPr>
            <b/>
            <sz val="8"/>
            <color indexed="81"/>
            <rFont val="Tahoma"/>
            <family val="2"/>
          </rPr>
          <t xml:space="preserve">Write Penalty: 6
</t>
        </r>
        <r>
          <rPr>
            <sz val="8"/>
            <color indexed="81"/>
            <rFont val="Tahoma"/>
            <family val="2"/>
          </rPr>
          <t xml:space="preserve">
each Write IO is multiplied by 6</t>
        </r>
      </text>
    </comment>
    <comment ref="G93" authorId="3" shapeId="0" xr:uid="{00000000-0006-0000-0200-00001F000000}">
      <text>
        <r>
          <rPr>
            <b/>
            <sz val="8"/>
            <color indexed="81"/>
            <rFont val="Tahoma"/>
            <family val="2"/>
          </rPr>
          <t xml:space="preserve">Write Penalty: 2
</t>
        </r>
        <r>
          <rPr>
            <sz val="8"/>
            <color indexed="81"/>
            <rFont val="Tahoma"/>
            <family val="2"/>
          </rPr>
          <t>each Write IO is multiplied by 2</t>
        </r>
      </text>
    </comment>
    <comment ref="K93" authorId="3" shapeId="0" xr:uid="{00000000-0006-0000-0200-000020000000}">
      <text>
        <r>
          <rPr>
            <b/>
            <sz val="8"/>
            <color indexed="81"/>
            <rFont val="Tahoma"/>
            <family val="2"/>
          </rPr>
          <t xml:space="preserve">Write Penalty: 2
</t>
        </r>
        <r>
          <rPr>
            <sz val="8"/>
            <color indexed="81"/>
            <rFont val="Tahoma"/>
            <family val="2"/>
          </rPr>
          <t>each Write IO is multiplied by 2</t>
        </r>
      </text>
    </comment>
    <comment ref="L93" authorId="3" shapeId="0" xr:uid="{00000000-0006-0000-0200-000021000000}">
      <text>
        <r>
          <rPr>
            <b/>
            <sz val="8"/>
            <color indexed="81"/>
            <rFont val="Tahoma"/>
            <family val="2"/>
          </rPr>
          <t xml:space="preserve">Write Penalty: 4
</t>
        </r>
        <r>
          <rPr>
            <sz val="8"/>
            <color indexed="81"/>
            <rFont val="Tahoma"/>
            <family val="2"/>
          </rPr>
          <t>each Write IO is multiplied by 4</t>
        </r>
      </text>
    </comment>
    <comment ref="M93" authorId="3" shapeId="0" xr:uid="{00000000-0006-0000-0200-000022000000}">
      <text>
        <r>
          <rPr>
            <b/>
            <sz val="8"/>
            <color indexed="81"/>
            <rFont val="Tahoma"/>
            <family val="2"/>
          </rPr>
          <t xml:space="preserve">Write Penalty: 6
</t>
        </r>
        <r>
          <rPr>
            <sz val="8"/>
            <color indexed="81"/>
            <rFont val="Tahoma"/>
            <family val="2"/>
          </rPr>
          <t xml:space="preserve">
each Write IO is multiplied by 6</t>
        </r>
      </text>
    </comment>
    <comment ref="N93" authorId="3" shapeId="0" xr:uid="{00000000-0006-0000-0200-000023000000}">
      <text>
        <r>
          <rPr>
            <b/>
            <sz val="8"/>
            <color indexed="81"/>
            <rFont val="Tahoma"/>
            <family val="2"/>
          </rPr>
          <t xml:space="preserve">Write Penalty: 2
</t>
        </r>
        <r>
          <rPr>
            <sz val="8"/>
            <color indexed="81"/>
            <rFont val="Tahoma"/>
            <family val="2"/>
          </rPr>
          <t>each Write IO is multiplied by 2</t>
        </r>
      </text>
    </comment>
    <comment ref="D107" authorId="3" shapeId="0" xr:uid="{00000000-0006-0000-0200-000024000000}">
      <text>
        <r>
          <rPr>
            <b/>
            <sz val="8"/>
            <color indexed="81"/>
            <rFont val="Tahoma"/>
            <family val="2"/>
          </rPr>
          <t xml:space="preserve">Write Penalty: 2
</t>
        </r>
        <r>
          <rPr>
            <sz val="8"/>
            <color indexed="81"/>
            <rFont val="Tahoma"/>
            <family val="2"/>
          </rPr>
          <t>each Write IO is multiplied by 2</t>
        </r>
      </text>
    </comment>
    <comment ref="E107" authorId="3" shapeId="0" xr:uid="{00000000-0006-0000-0200-000025000000}">
      <text>
        <r>
          <rPr>
            <b/>
            <sz val="8"/>
            <color indexed="81"/>
            <rFont val="Tahoma"/>
            <family val="2"/>
          </rPr>
          <t xml:space="preserve">Write Penalty: 4
</t>
        </r>
        <r>
          <rPr>
            <sz val="8"/>
            <color indexed="81"/>
            <rFont val="Tahoma"/>
            <family val="2"/>
          </rPr>
          <t>each Write IO is multiplied by 4</t>
        </r>
      </text>
    </comment>
    <comment ref="F107" authorId="3" shapeId="0" xr:uid="{00000000-0006-0000-0200-000026000000}">
      <text>
        <r>
          <rPr>
            <b/>
            <sz val="8"/>
            <color indexed="81"/>
            <rFont val="Tahoma"/>
            <family val="2"/>
          </rPr>
          <t xml:space="preserve">Write Penalty: 6
</t>
        </r>
        <r>
          <rPr>
            <sz val="8"/>
            <color indexed="81"/>
            <rFont val="Tahoma"/>
            <family val="2"/>
          </rPr>
          <t xml:space="preserve">
each Write IO is multiplied by 6</t>
        </r>
      </text>
    </comment>
    <comment ref="G107" authorId="3" shapeId="0" xr:uid="{00000000-0006-0000-0200-000027000000}">
      <text>
        <r>
          <rPr>
            <b/>
            <sz val="8"/>
            <color indexed="81"/>
            <rFont val="Tahoma"/>
            <family val="2"/>
          </rPr>
          <t xml:space="preserve">Write Penalty: 2
</t>
        </r>
        <r>
          <rPr>
            <sz val="8"/>
            <color indexed="81"/>
            <rFont val="Tahoma"/>
            <family val="2"/>
          </rPr>
          <t>each Write IO is multiplied by 2</t>
        </r>
      </text>
    </comment>
    <comment ref="K107" authorId="3" shapeId="0" xr:uid="{00000000-0006-0000-0200-000028000000}">
      <text>
        <r>
          <rPr>
            <b/>
            <sz val="8"/>
            <color indexed="81"/>
            <rFont val="Tahoma"/>
            <family val="2"/>
          </rPr>
          <t xml:space="preserve">Write Penalty: 2
</t>
        </r>
        <r>
          <rPr>
            <sz val="8"/>
            <color indexed="81"/>
            <rFont val="Tahoma"/>
            <family val="2"/>
          </rPr>
          <t>each Write IO is multiplied by 2</t>
        </r>
      </text>
    </comment>
    <comment ref="L107" authorId="3" shapeId="0" xr:uid="{00000000-0006-0000-0200-000029000000}">
      <text>
        <r>
          <rPr>
            <b/>
            <sz val="8"/>
            <color indexed="81"/>
            <rFont val="Tahoma"/>
            <family val="2"/>
          </rPr>
          <t xml:space="preserve">Write Penalty: 4
</t>
        </r>
        <r>
          <rPr>
            <sz val="8"/>
            <color indexed="81"/>
            <rFont val="Tahoma"/>
            <family val="2"/>
          </rPr>
          <t>each Write IO is multiplied by 4</t>
        </r>
      </text>
    </comment>
    <comment ref="M107" authorId="3" shapeId="0" xr:uid="{00000000-0006-0000-0200-00002A000000}">
      <text>
        <r>
          <rPr>
            <b/>
            <sz val="8"/>
            <color indexed="81"/>
            <rFont val="Tahoma"/>
            <family val="2"/>
          </rPr>
          <t xml:space="preserve">Write Penalty: 6
</t>
        </r>
        <r>
          <rPr>
            <sz val="8"/>
            <color indexed="81"/>
            <rFont val="Tahoma"/>
            <family val="2"/>
          </rPr>
          <t xml:space="preserve">
each Write IO is multiplied by 6</t>
        </r>
      </text>
    </comment>
    <comment ref="N107" authorId="3" shapeId="0" xr:uid="{00000000-0006-0000-0200-00002B000000}">
      <text>
        <r>
          <rPr>
            <b/>
            <sz val="8"/>
            <color indexed="81"/>
            <rFont val="Tahoma"/>
            <family val="2"/>
          </rPr>
          <t xml:space="preserve">Write Penalty: 2
</t>
        </r>
        <r>
          <rPr>
            <sz val="8"/>
            <color indexed="81"/>
            <rFont val="Tahoma"/>
            <family val="2"/>
          </rPr>
          <t>each Write IO is multiplied by 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Oubre, Steve (GE Healthcare)</author>
  </authors>
  <commentList>
    <comment ref="L20" authorId="0" shapeId="0" xr:uid="{00000000-0006-0000-0300-000001000000}">
      <text>
        <r>
          <rPr>
            <b/>
            <sz val="9"/>
            <color indexed="81"/>
            <rFont val="Tahoma"/>
            <family val="2"/>
          </rPr>
          <t>#Cores per CPU : CPU Model ranges  
4   : E3-1230-&gt;E3-1290, v1-v4 
4   : E5-1620, E5-4603
6   : E5-2420-&gt;E5-2440
6   : E7-4809v2,E7-8893v2
8   : E5-2450-&gt;E5-4650
8   : E7-4820v2
10  : E7-2850-&gt;E7-8870
10  : E7-4830v2, E7-8891v2
12  : E5-2695v2-&gt;E5-2697v2
12  : E7-2850v2,E7-4850/60v2,E7-8850/57v2
14  : E5-2683/2695/2697/4660v3, E7-4850v3
15  : E7-x870v2-&gt;E7-x890v2, x=2,4,8
16  : E5-2698/4667v3, E7-8860/8867v3
18  : E5-2699/4669v3, E7-8870-&gt;8890v3</t>
        </r>
      </text>
    </comment>
    <comment ref="A26" authorId="0" shapeId="0" xr:uid="{00000000-0006-0000-0300-000002000000}">
      <text>
        <r>
          <rPr>
            <b/>
            <sz val="9"/>
            <color indexed="81"/>
            <rFont val="Tahoma"/>
            <family val="2"/>
          </rPr>
          <t>This refers to the TOTAL number of vCPUs allocated across ALL RUNNING VMs on a host system, not the number of vCPUs assigned to one VM.</t>
        </r>
        <r>
          <rPr>
            <sz val="9"/>
            <color indexed="81"/>
            <rFont val="Tahoma"/>
            <family val="2"/>
          </rPr>
          <t xml:space="preserve">
</t>
        </r>
      </text>
    </comment>
    <comment ref="A27" authorId="0" shapeId="0" xr:uid="{00000000-0006-0000-0300-000003000000}">
      <text>
        <r>
          <rPr>
            <b/>
            <sz val="9"/>
            <color indexed="81"/>
            <rFont val="Tahoma"/>
            <family val="2"/>
          </rPr>
          <t xml:space="preserve">This refers to the TOTAL amount of vRAM allocated across ALL RUNNING VMs on a host system, not the amount of vRAM assigned to one VM.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tc={5510C652-AC2B-48F7-9F9A-87FDF7157DAC}</author>
    <author>tc={47B31795-0132-4A84-BE03-D4251DA61EA6}</author>
    <author>Oubre, Steve (GE Healthcare)</author>
  </authors>
  <commentList>
    <comment ref="B9" authorId="0" shapeId="0" xr:uid="{5510C652-AC2B-48F7-9F9A-87FDF7157DAC}">
      <text>
        <t>[Threaded comment]
Your version of Excel allows you to read this threaded comment; however, any edits to it will get removed if the file is opened in a newer version of Excel. Learn more: https://go.microsoft.com/fwlink/?linkid=870924
Comment:
    Please fill in details under "Database Server Info" tab Cell K5, for RAM recommendation.This is mandatory.</t>
      </text>
    </comment>
    <comment ref="B10" authorId="1" shapeId="0" xr:uid="{47B31795-0132-4A84-BE03-D4251DA61EA6}">
      <text>
        <t>[Threaded comment]
Your version of Excel allows you to read this threaded comment; however, any edits to it will get removed if the file is opened in a newer version of Excel. Learn more: https://go.microsoft.com/fwlink/?linkid=870924
Comment:
    Please fill in details under "Database Server Info" tab for DB server Disk storage recommendation. This is mandatory.</t>
      </text>
    </comment>
    <comment ref="I51" authorId="2" shapeId="0" xr:uid="{9B59EA6E-4E12-4C46-BC7C-B22CE026A74C}">
      <text>
        <r>
          <rPr>
            <b/>
            <sz val="9"/>
            <color indexed="81"/>
            <rFont val="Tahoma"/>
            <family val="2"/>
          </rPr>
          <t>#Cores per CPU : CPU Model ranges  
4   : E3-1230-&gt;E3-1290, v1-v4 
4   : E5-1620, E5-4603
6   : E5-2420-&gt;E5-2440
6   : E7-4809v2,E7-8893v2
8   : E5-2450-&gt;E5-4650
8   : E7-4820v2
10  : E7-2850-&gt;E7-8870
10  : E7-4830v2, E7-8891v2
12  : E5-2695v2-&gt;E5-2697v2
12  : E7-2850v2,E7-4850/60v2,E7-8850/57v2
14  : E5-2683/2695/2697/4660v3, E7-4850v3
15  : E7-x870v2-&gt;E7-x890v2, x=2,4,8
16  : E5-2698/4667v3, E7-8860/8867v3
18  : E5-2699/4669v3, E7-8870-&gt;8890v3</t>
        </r>
      </text>
    </comment>
    <comment ref="I52" authorId="2" shapeId="0" xr:uid="{43818B43-2200-4227-AC16-2AE8311968E9}">
      <text>
        <r>
          <rPr>
            <b/>
            <sz val="9"/>
            <color indexed="81"/>
            <rFont val="Tahoma"/>
            <family val="2"/>
          </rPr>
          <t xml:space="preserve">CPU Model can be determined by one of the following:
</t>
        </r>
        <r>
          <rPr>
            <sz val="9"/>
            <color indexed="81"/>
            <rFont val="Tahoma"/>
            <family val="2"/>
          </rPr>
          <t>- From the system BIOS
- Device manager within Server manager at either the Host level or within one of the VMs.
Go to the Processors section , hi-light one      of the processors and display processor properties. On Win Server 2012, it is displayed within Server manager directly.
- Run an MSinfo32 report, CPU model is listed in the summary.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GE User</author>
    <author>Oubre, Steve (GE Healthcare)</author>
  </authors>
  <commentList>
    <comment ref="A41" authorId="0" shapeId="0" xr:uid="{00000000-0006-0000-0400-000001000000}">
      <text>
        <r>
          <rPr>
            <b/>
            <sz val="9"/>
            <color indexed="81"/>
            <rFont val="Tahoma"/>
            <family val="2"/>
          </rPr>
          <t>\jboss\jsw\jconfig</t>
        </r>
        <r>
          <rPr>
            <sz val="9"/>
            <color indexed="81"/>
            <rFont val="Tahoma"/>
            <family val="2"/>
          </rPr>
          <t xml:space="preserve">
</t>
        </r>
      </text>
    </comment>
    <comment ref="F41" authorId="0" shapeId="0" xr:uid="{00000000-0006-0000-0400-000002000000}">
      <text>
        <r>
          <rPr>
            <b/>
            <sz val="9"/>
            <color indexed="81"/>
            <rFont val="Tahoma"/>
            <family val="2"/>
          </rPr>
          <t>GE User:</t>
        </r>
        <r>
          <rPr>
            <sz val="9"/>
            <color indexed="81"/>
            <rFont val="Tahoma"/>
            <family val="2"/>
          </rPr>
          <t xml:space="preserve">
File Path: jboss\standalone\configuration\standalone.xml</t>
        </r>
      </text>
    </comment>
    <comment ref="Q41" authorId="0" shapeId="0" xr:uid="{00000000-0006-0000-0400-000003000000}">
      <text>
        <r>
          <rPr>
            <b/>
            <sz val="9"/>
            <color indexed="81"/>
            <rFont val="Tahoma"/>
            <family val="2"/>
          </rPr>
          <t>GE User:</t>
        </r>
        <r>
          <rPr>
            <sz val="9"/>
            <color indexed="81"/>
            <rFont val="Tahoma"/>
            <family val="2"/>
          </rPr>
          <t xml:space="preserve">
File Path: jboss\standalone\configuration\standalone.xml</t>
        </r>
      </text>
    </comment>
    <comment ref="I53" authorId="1" shapeId="0" xr:uid="{00000000-0006-0000-0400-000004000000}">
      <text>
        <r>
          <rPr>
            <b/>
            <sz val="9"/>
            <color indexed="81"/>
            <rFont val="Tahoma"/>
            <family val="2"/>
          </rPr>
          <t>#Cores per CPU : CPU Model ranges  
4   : E3-1230-&gt;E3-1290, v1-v4 
4   : E5-1620, E5-4603
6   : E5-2420-&gt;E5-2440
6   : E7-4809v2,E7-8893v2
8   : E5-2450-&gt;E5-4650
8   : E7-4820v2
10  : E7-2850-&gt;E7-8870
10  : E7-4830v2, E7-8891v2
12  : E5-2695v2-&gt;E5-2697v2
12  : E7-2850v2,E7-4850/60v2,E7-8850/57v2
14  : E5-2683/2695/2697/4660v3, E7-4850v3
15  : E7-x870v2-&gt;E7-x890v2, x=2,4,8
16  : E5-2698/4667v3, E7-8860/8867v3
18  : E5-2699/4669v3, E7-8870-&gt;8890v3</t>
        </r>
      </text>
    </comment>
    <comment ref="I54" authorId="1" shapeId="0" xr:uid="{00000000-0006-0000-0400-000005000000}">
      <text>
        <r>
          <rPr>
            <b/>
            <sz val="9"/>
            <color indexed="81"/>
            <rFont val="Tahoma"/>
            <family val="2"/>
          </rPr>
          <t xml:space="preserve">CPU Model can be determined by one of the following:
</t>
        </r>
        <r>
          <rPr>
            <sz val="9"/>
            <color indexed="81"/>
            <rFont val="Tahoma"/>
            <family val="2"/>
          </rPr>
          <t>- From the system BIOS
- Device manager within Server manager at either the Host level or within one of the VMs.
Go to the Processors section , hi-light one      of the processors and display processor properties. On Win Server 2012, it is displayed within Server manager directly.
- Run an MSinfo32 report, CPU model is listed in the summary.</t>
        </r>
      </text>
    </comment>
    <comment ref="I62" authorId="1" shapeId="0" xr:uid="{00000000-0006-0000-0400-000006000000}">
      <text>
        <r>
          <rPr>
            <b/>
            <sz val="9"/>
            <color indexed="81"/>
            <rFont val="Tahoma"/>
            <family val="2"/>
          </rPr>
          <t>#Cores per CPU : CPU Model ranges  
4   : E3-1230-&gt;E3-1290, v1-v4 
4   : E5-1620, E5-4603
6   : E5-2420-&gt;E5-2440
6   : E7-4809v2,E7-8893v2
8   : E5-2450-&gt;E5-4650
8   : E7-4820v2
10  : E7-2850-&gt;E7-8870
10  : E7-4830v2, E7-8891v2
12  : E5-2695v2-&gt;E5-2697v2
12  : E7-2850v2,E7-4850/60v2,E7-8850/57v2
14  : E5-2683/2695/2697/4660v3, E7-4850v3
15  : E7-x870v2-&gt;E7-x890v2, x=2,4,8
16  : E5-2698/4667v3, E7-8860/8867v3
18  : E5-2699/4669v3, E7-8870-&gt;8890v3</t>
        </r>
      </text>
    </comment>
    <comment ref="I63" authorId="1" shapeId="0" xr:uid="{00000000-0006-0000-0400-000007000000}">
      <text>
        <r>
          <rPr>
            <b/>
            <sz val="9"/>
            <color indexed="81"/>
            <rFont val="Tahoma"/>
            <family val="2"/>
          </rPr>
          <t xml:space="preserve">CPU Model can be determined by one of the following:
</t>
        </r>
        <r>
          <rPr>
            <sz val="9"/>
            <color indexed="81"/>
            <rFont val="Tahoma"/>
            <family val="2"/>
          </rPr>
          <t>- From the system BIOS
- Device manager within Server manager at either the Host level or within one of the VMs.
Go to the Processors section , hi-light one      of the processors and display processor properties. On Win Server 2012, it is displayed within Server manager directly.
- Run an MSinfo32 report, CPU model is listed in the summary.</t>
        </r>
      </text>
    </comment>
    <comment ref="AC69" authorId="1" shapeId="0" xr:uid="{00000000-0006-0000-0400-000008000000}">
      <text>
        <r>
          <rPr>
            <b/>
            <sz val="9"/>
            <color indexed="81"/>
            <rFont val="Tahoma"/>
            <family val="2"/>
          </rPr>
          <t>Oubre, Steve (GE Healthcare):</t>
        </r>
        <r>
          <rPr>
            <sz val="9"/>
            <color indexed="81"/>
            <rFont val="Tahoma"/>
            <family val="2"/>
          </rPr>
          <t xml:space="preserve">
jboss\jsw\wrapper.conf</t>
        </r>
      </text>
    </comment>
    <comment ref="AG69" authorId="1" shapeId="0" xr:uid="{00000000-0006-0000-0400-000009000000}">
      <text>
        <r>
          <rPr>
            <b/>
            <sz val="9"/>
            <color indexed="81"/>
            <rFont val="Tahoma"/>
            <family val="2"/>
          </rPr>
          <t>Oubre, Steve (GE Healthcare):</t>
        </r>
        <r>
          <rPr>
            <sz val="9"/>
            <color indexed="81"/>
            <rFont val="Tahoma"/>
            <family val="2"/>
          </rPr>
          <t xml:space="preserve">
jboss\server\default\deploy\DefaultDS-ds.xml</t>
        </r>
      </text>
    </comment>
    <comment ref="AJ69" authorId="1" shapeId="0" xr:uid="{00000000-0006-0000-0400-00000A000000}">
      <text>
        <r>
          <rPr>
            <b/>
            <sz val="9"/>
            <color indexed="81"/>
            <rFont val="Tahoma"/>
            <family val="2"/>
          </rPr>
          <t>jboss\server\default\deploy\jbossweb.sar\Server.xml</t>
        </r>
        <r>
          <rPr>
            <sz val="9"/>
            <color indexed="81"/>
            <rFont val="Tahoma"/>
            <family val="2"/>
          </rPr>
          <t xml:space="preserve">
&lt;Connector protocol="HTTP/1.1" port="8080" address="${jboss.bind.address}" 
               maxThreads="3000" maxHttpHeaderSize="8192"
      connectionTimeout="60000" acceptCount="500" redirectPort="8443" /&gt;
&lt;Connector protocol="HTTP/1.1" SSLEnabled="true" 
           port="8443" address="${jboss.bind.address}"
     maxThreads="3000" maxHttpHeaderSize="8192"
           connectionTimeout="60000" acceptCount="500"  scheme="https" secure="true" clientAuth="false" 
           keystoreFile="${jboss.server.home.dir}/conf/keystore.jks"
           keystorePass="changeit" sslProtocol="TLS" /&gt;
</t>
        </r>
      </text>
    </comment>
    <comment ref="AL69" authorId="1" shapeId="0" xr:uid="{00000000-0006-0000-0400-00000B000000}">
      <text>
        <r>
          <rPr>
            <b/>
            <sz val="9"/>
            <color indexed="81"/>
            <rFont val="Tahoma"/>
            <family val="2"/>
          </rPr>
          <t>jboss\server\default\conf\jboss-service.xml</t>
        </r>
        <r>
          <rPr>
            <sz val="9"/>
            <color indexed="81"/>
            <rFont val="Tahoma"/>
            <family val="2"/>
          </rPr>
          <t xml:space="preserve">
</t>
        </r>
      </text>
    </comment>
    <comment ref="AA70" authorId="1" shapeId="0" xr:uid="{00000000-0006-0000-0400-00000C000000}">
      <text>
        <r>
          <rPr>
            <b/>
            <sz val="9"/>
            <color indexed="81"/>
            <rFont val="Tahoma"/>
            <family val="2"/>
          </rPr>
          <t>Oubre, Steve (GE Healthcare):</t>
        </r>
        <r>
          <rPr>
            <sz val="9"/>
            <color indexed="81"/>
            <rFont val="Tahoma"/>
            <family val="2"/>
          </rPr>
          <t xml:space="preserve">
wrapper.java.additional.5=-Xms40960m
</t>
        </r>
      </text>
    </comment>
    <comment ref="AB70" authorId="1" shapeId="0" xr:uid="{00000000-0006-0000-0400-00000D000000}">
      <text>
        <r>
          <rPr>
            <b/>
            <sz val="9"/>
            <color indexed="81"/>
            <rFont val="Tahoma"/>
            <family val="2"/>
          </rPr>
          <t>Oubre, Steve (GE Healthcare):</t>
        </r>
        <r>
          <rPr>
            <sz val="9"/>
            <color indexed="81"/>
            <rFont val="Tahoma"/>
            <family val="2"/>
          </rPr>
          <t xml:space="preserve">
wrapper.java.additional.6=-Xmx40960m
</t>
        </r>
      </text>
    </comment>
    <comment ref="AC70" authorId="1" shapeId="0" xr:uid="{00000000-0006-0000-0400-00000E000000}">
      <text>
        <r>
          <rPr>
            <b/>
            <sz val="9"/>
            <color indexed="81"/>
            <rFont val="Tahoma"/>
            <family val="2"/>
          </rPr>
          <t>Oubre, Steve (GE Healthcare):</t>
        </r>
        <r>
          <rPr>
            <sz val="9"/>
            <color indexed="81"/>
            <rFont val="Tahoma"/>
            <family val="2"/>
          </rPr>
          <t xml:space="preserve">
wrapper.java.additional.7=-XX:MaxPermSize=4096m
</t>
        </r>
      </text>
    </comment>
    <comment ref="AD70" authorId="1" shapeId="0" xr:uid="{00000000-0006-0000-0400-00000F000000}">
      <text>
        <r>
          <rPr>
            <b/>
            <sz val="9"/>
            <color indexed="81"/>
            <rFont val="Tahoma"/>
            <family val="2"/>
          </rPr>
          <t>Oubre, Steve (GE Healthcare):</t>
        </r>
        <r>
          <rPr>
            <sz val="9"/>
            <color indexed="81"/>
            <rFont val="Tahoma"/>
            <family val="2"/>
          </rPr>
          <t xml:space="preserve">
wrapper.java.additional.15=-XX:ReservedCodeCacheSize=128m</t>
        </r>
      </text>
    </comment>
    <comment ref="AE70" authorId="1" shapeId="0" xr:uid="{00000000-0006-0000-0400-000010000000}">
      <text>
        <r>
          <rPr>
            <b/>
            <sz val="9"/>
            <color indexed="81"/>
            <rFont val="Tahoma"/>
            <family val="2"/>
          </rPr>
          <t>Oubre, Steve (GE Healthcare):</t>
        </r>
        <r>
          <rPr>
            <sz val="9"/>
            <color indexed="81"/>
            <rFont val="Tahoma"/>
            <family val="2"/>
          </rPr>
          <t xml:space="preserve">
wrapper.ping.timeout=900</t>
        </r>
      </text>
    </comment>
    <comment ref="AG70" authorId="1" shapeId="0" xr:uid="{00000000-0006-0000-0400-000011000000}">
      <text>
        <r>
          <rPr>
            <b/>
            <sz val="9"/>
            <color indexed="81"/>
            <rFont val="Tahoma"/>
            <family val="2"/>
          </rPr>
          <t>Oubre, Steve (GE Healthcare):</t>
        </r>
        <r>
          <rPr>
            <sz val="9"/>
            <color indexed="81"/>
            <rFont val="Tahoma"/>
            <family val="2"/>
          </rPr>
          <t xml:space="preserve">
&lt;max-pool-size&gt;500&lt;/max-pool-size&gt;</t>
        </r>
      </text>
    </comment>
    <comment ref="AH70" authorId="1" shapeId="0" xr:uid="{00000000-0006-0000-0400-000012000000}">
      <text>
        <r>
          <rPr>
            <b/>
            <sz val="9"/>
            <color indexed="81"/>
            <rFont val="Tahoma"/>
            <family val="2"/>
          </rPr>
          <t>Oubre, Steve (GE Healthcare):</t>
        </r>
        <r>
          <rPr>
            <sz val="9"/>
            <color indexed="81"/>
            <rFont val="Tahoma"/>
            <family val="2"/>
          </rPr>
          <t xml:space="preserve">
&lt;blocking-timeout-millis&gt;8000&lt;/blocking-timeout-millis&gt;</t>
        </r>
      </text>
    </comment>
    <comment ref="AL70" authorId="1" shapeId="0" xr:uid="{00000000-0006-0000-0400-000013000000}">
      <text>
        <r>
          <rPr>
            <b/>
            <sz val="9"/>
            <color indexed="81"/>
            <rFont val="Tahoma"/>
            <family val="2"/>
          </rPr>
          <t>Oubre, Steve (GE Healthcare):</t>
        </r>
        <r>
          <rPr>
            <sz val="9"/>
            <color indexed="81"/>
            <rFont val="Tahoma"/>
            <family val="2"/>
          </rPr>
          <t xml:space="preserve">
&lt;attribute name="MaximumPoolSize"&gt;20&lt;/attribute&gt;</t>
        </r>
      </text>
    </comment>
    <comment ref="X72" authorId="1" shapeId="0" xr:uid="{00000000-0006-0000-0400-000014000000}">
      <text>
        <r>
          <rPr>
            <b/>
            <sz val="9"/>
            <color indexed="81"/>
            <rFont val="Tahoma"/>
            <family val="2"/>
          </rPr>
          <t>per website</t>
        </r>
        <r>
          <rPr>
            <sz val="9"/>
            <color indexed="81"/>
            <rFont val="Tahoma"/>
            <family val="2"/>
          </rPr>
          <t xml:space="preserve">
</t>
        </r>
      </text>
    </comment>
    <comment ref="Z72" authorId="1" shapeId="0" xr:uid="{00000000-0006-0000-0400-000015000000}">
      <text>
        <r>
          <rPr>
            <b/>
            <sz val="9"/>
            <color indexed="81"/>
            <rFont val="Tahoma"/>
            <family val="2"/>
          </rPr>
          <t>per website</t>
        </r>
        <r>
          <rPr>
            <sz val="9"/>
            <color indexed="81"/>
            <rFont val="Tahoma"/>
            <family val="2"/>
          </rPr>
          <t xml:space="preserve">
</t>
        </r>
      </text>
    </comment>
    <comment ref="X73" authorId="1" shapeId="0" xr:uid="{00000000-0006-0000-0400-000016000000}">
      <text>
        <r>
          <rPr>
            <b/>
            <sz val="9"/>
            <color indexed="81"/>
            <rFont val="Tahoma"/>
            <family val="2"/>
          </rPr>
          <t>Per user</t>
        </r>
      </text>
    </comment>
    <comment ref="Z73" authorId="1" shapeId="0" xr:uid="{00000000-0006-0000-0400-000017000000}">
      <text>
        <r>
          <rPr>
            <b/>
            <sz val="9"/>
            <color indexed="81"/>
            <rFont val="Tahoma"/>
            <family val="2"/>
          </rPr>
          <t>Per user</t>
        </r>
      </text>
    </comment>
    <comment ref="X74" authorId="1" shapeId="0" xr:uid="{00000000-0006-0000-0400-000018000000}">
      <text>
        <r>
          <rPr>
            <b/>
            <sz val="9"/>
            <color indexed="81"/>
            <rFont val="Tahoma"/>
            <family val="2"/>
          </rPr>
          <t>per website</t>
        </r>
        <r>
          <rPr>
            <sz val="9"/>
            <color indexed="81"/>
            <rFont val="Tahoma"/>
            <family val="2"/>
          </rPr>
          <t xml:space="preserve">
</t>
        </r>
      </text>
    </comment>
    <comment ref="Z74" authorId="1" shapeId="0" xr:uid="{00000000-0006-0000-0400-000019000000}">
      <text>
        <r>
          <rPr>
            <b/>
            <sz val="9"/>
            <color indexed="81"/>
            <rFont val="Tahoma"/>
            <family val="2"/>
          </rPr>
          <t>per website</t>
        </r>
        <r>
          <rPr>
            <sz val="9"/>
            <color indexed="81"/>
            <rFont val="Tahoma"/>
            <family val="2"/>
          </rPr>
          <t xml:space="preserve">
</t>
        </r>
      </text>
    </comment>
    <comment ref="X75" authorId="1" shapeId="0" xr:uid="{00000000-0006-0000-0400-00001A000000}">
      <text>
        <r>
          <rPr>
            <b/>
            <sz val="9"/>
            <color indexed="81"/>
            <rFont val="Tahoma"/>
            <family val="2"/>
          </rPr>
          <t>per website</t>
        </r>
        <r>
          <rPr>
            <sz val="9"/>
            <color indexed="81"/>
            <rFont val="Tahoma"/>
            <family val="2"/>
          </rPr>
          <t xml:space="preserve">
</t>
        </r>
      </text>
    </comment>
    <comment ref="Z75" authorId="1" shapeId="0" xr:uid="{00000000-0006-0000-0400-00001B000000}">
      <text>
        <r>
          <rPr>
            <b/>
            <sz val="9"/>
            <color indexed="81"/>
            <rFont val="Tahoma"/>
            <family val="2"/>
          </rPr>
          <t>per website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212040613</author>
  </authors>
  <commentList>
    <comment ref="D5" authorId="0" shapeId="0" xr:uid="{00000000-0006-0000-0A00-000001000000}">
      <text>
        <r>
          <rPr>
            <b/>
            <sz val="8"/>
            <color indexed="81"/>
            <rFont val="Tahoma"/>
            <family val="2"/>
          </rPr>
          <t>212040613:</t>
        </r>
        <r>
          <rPr>
            <sz val="8"/>
            <color indexed="81"/>
            <rFont val="Tahoma"/>
            <family val="2"/>
          </rPr>
          <t xml:space="preserve">
SO: G64 is a static minimum used in the calculation for H61.</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Oubre, Steve (GE Healthcare)</author>
    <author>GE User</author>
  </authors>
  <commentList>
    <comment ref="L11" authorId="0" shapeId="0" xr:uid="{00000000-0006-0000-0600-000001000000}">
      <text>
        <r>
          <rPr>
            <b/>
            <sz val="9"/>
            <color indexed="81"/>
            <rFont val="Tahoma"/>
            <family val="2"/>
          </rPr>
          <t xml:space="preserve">CPU Model can be determined by one of the following:
</t>
        </r>
        <r>
          <rPr>
            <sz val="9"/>
            <color indexed="81"/>
            <rFont val="Tahoma"/>
            <family val="2"/>
          </rPr>
          <t xml:space="preserve">- From the system BIOS
- Device manager within Server manager.
Go to the Processors section , hi-light one      of the processors and display processor properties. On Win Server 2012, it is displayed within Server manager directly.
- Run an MSinfo32 report, CPU model is listed in the summary.
</t>
        </r>
      </text>
    </comment>
    <comment ref="B13" authorId="0" shapeId="0" xr:uid="{00000000-0006-0000-0600-000002000000}">
      <text>
        <r>
          <rPr>
            <b/>
            <sz val="9"/>
            <color indexed="81"/>
            <rFont val="Tahoma"/>
            <family val="2"/>
          </rPr>
          <t xml:space="preserve">CPU Model can be determined by one of the following:
</t>
        </r>
        <r>
          <rPr>
            <sz val="9"/>
            <color indexed="81"/>
            <rFont val="Tahoma"/>
            <family val="2"/>
          </rPr>
          <t xml:space="preserve">- From the system BIOS
- Device manager within Server manager.
Go to the Processors section , hi-light one      of the processors and display processor properties. On Win Server 2012, it is displayed within Server manager directly.
- Run an MSinfo32 report, CPU model is listed in the summary.
</t>
        </r>
      </text>
    </comment>
    <comment ref="M15" authorId="0" shapeId="0" xr:uid="{00000000-0006-0000-0600-000006000000}">
      <text>
        <r>
          <rPr>
            <b/>
            <sz val="9"/>
            <color indexed="81"/>
            <rFont val="Tahoma"/>
            <family val="2"/>
          </rPr>
          <t>Choosing the appropriate RAID level is a matter of balancing performance with the most efficient use of resources.  Various RAID levels will offer different performance characteristics and some level of protection from disk failure(s).  We will support any RAID level except RAID 0, but we recommend RAID 1 for Citrix / Terminal Server implementations.</t>
        </r>
      </text>
    </comment>
    <comment ref="C17" authorId="0" shapeId="0" xr:uid="{00000000-0006-0000-0600-000007000000}">
      <text>
        <r>
          <rPr>
            <b/>
            <sz val="9"/>
            <color indexed="81"/>
            <rFont val="Tahoma"/>
            <family val="2"/>
          </rPr>
          <t>Choosing the appropriate RAID level is a matter of balancing performance with the most efficient use of resources.  Various RAID levels will offer different performance characteristics and some level of protection from disk failure(s).  GE will support any RAID level except RAID 0, provided the IOPS performance requirements on the 'Database Server Info' tab are met.</t>
        </r>
        <r>
          <rPr>
            <sz val="9"/>
            <color indexed="81"/>
            <rFont val="Tahoma"/>
            <family val="2"/>
          </rPr>
          <t xml:space="preserve">
</t>
        </r>
      </text>
    </comment>
    <comment ref="B26" authorId="0" shapeId="0" xr:uid="{00000000-0006-0000-0600-000009000000}">
      <text>
        <r>
          <rPr>
            <b/>
            <sz val="9"/>
            <color indexed="81"/>
            <rFont val="Tahoma"/>
            <family val="2"/>
          </rPr>
          <t xml:space="preserve">CPU Model can be determined by one of the following:
</t>
        </r>
        <r>
          <rPr>
            <sz val="9"/>
            <color indexed="81"/>
            <rFont val="Tahoma"/>
            <family val="2"/>
          </rPr>
          <t xml:space="preserve">- From the system BIOS
- Device manager within Server manager.
Go to the Processors section , hi-light one      of the processors and display processor properties. On Win Server 2012, it is displayed within Server manager directly.
- Run an MSinfo32 report, CPU model is listed in the summary.
</t>
        </r>
      </text>
    </comment>
    <comment ref="C30" authorId="0" shapeId="0" xr:uid="{00000000-0006-0000-0600-00000B000000}">
      <text>
        <r>
          <rPr>
            <b/>
            <sz val="9"/>
            <color indexed="81"/>
            <rFont val="Tahoma"/>
            <family val="2"/>
          </rPr>
          <t>Choosing the appropriate RAID level is a matter of balancing performance with the most efficient use of resources.  Various RAID levels will offer different performance characteristics and some level of protection from disk failure(s). We will support any RAID level except RAID 0, provided the IOPS performance requirements on the 'Database Server Info' tab are met.</t>
        </r>
        <r>
          <rPr>
            <sz val="9"/>
            <color indexed="81"/>
            <rFont val="Tahoma"/>
            <family val="2"/>
          </rPr>
          <t xml:space="preserve">
</t>
        </r>
      </text>
    </comment>
    <comment ref="B58" authorId="0" shapeId="0" xr:uid="{00000000-0006-0000-0600-00000C000000}">
      <text>
        <r>
          <rPr>
            <b/>
            <sz val="9"/>
            <color indexed="81"/>
            <rFont val="Tahoma"/>
            <family val="2"/>
          </rPr>
          <t xml:space="preserve">CPU Model can be determined by one of the following:
</t>
        </r>
        <r>
          <rPr>
            <sz val="9"/>
            <color indexed="81"/>
            <rFont val="Tahoma"/>
            <family val="2"/>
          </rPr>
          <t xml:space="preserve">- From the system BIOS
- Device manager within Server manager.
Go to the Processors section , hi-light one      of the processors and display processor properties. On Win Server 2012, it is displayed within Server manager directly.
- Run an MSinfo32 report, CPU model is listed in the summary.
</t>
        </r>
      </text>
    </comment>
    <comment ref="H58" authorId="0" shapeId="0" xr:uid="{00000000-0006-0000-0600-00000D000000}">
      <text>
        <r>
          <rPr>
            <b/>
            <sz val="9"/>
            <color indexed="81"/>
            <rFont val="Tahoma"/>
            <family val="2"/>
          </rPr>
          <t>Select 'Yes' if Jboss App server is to be split into separate UI and Interop app servers. Otherwise, select 'No'.</t>
        </r>
      </text>
    </comment>
    <comment ref="L58" authorId="0" shapeId="0" xr:uid="{00000000-0006-0000-0600-00000E000000}">
      <text>
        <r>
          <rPr>
            <b/>
            <sz val="9"/>
            <color indexed="81"/>
            <rFont val="Tahoma"/>
            <family val="2"/>
          </rPr>
          <t xml:space="preserve">CPU Model can be determined by one of the following:
</t>
        </r>
        <r>
          <rPr>
            <sz val="9"/>
            <color indexed="81"/>
            <rFont val="Tahoma"/>
            <family val="2"/>
          </rPr>
          <t xml:space="preserve">- From the system BIOS
- Device manager within Server manager.
Go to the Processors section , hi-light one      of the processors and display processor properties. On Win Server 2012, it is displayed within Server manager directly.
- Run an MSinfo32 report, CPU model is listed in the summary.
</t>
        </r>
      </text>
    </comment>
    <comment ref="C60" authorId="1" shapeId="0" xr:uid="{00000000-0006-0000-0600-00000F000000}">
      <text>
        <r>
          <rPr>
            <b/>
            <sz val="9"/>
            <color indexed="81"/>
            <rFont val="Tahoma"/>
            <family val="2"/>
          </rPr>
          <t>GE User:</t>
        </r>
        <r>
          <rPr>
            <sz val="9"/>
            <color indexed="81"/>
            <rFont val="Tahoma"/>
            <family val="2"/>
          </rPr>
          <t xml:space="preserve">
We support 
Standard/Enterprise/Data Center versions for the below OS versions
Win Svr 2012 R2 64 bit
Win Svr 2016 64 bit</t>
        </r>
      </text>
    </comment>
    <comment ref="M60" authorId="1" shapeId="0" xr:uid="{00000000-0006-0000-0600-000010000000}">
      <text>
        <r>
          <rPr>
            <b/>
            <sz val="9"/>
            <color indexed="81"/>
            <rFont val="Tahoma"/>
            <family val="2"/>
          </rPr>
          <t>GE User:</t>
        </r>
        <r>
          <rPr>
            <sz val="9"/>
            <color indexed="81"/>
            <rFont val="Tahoma"/>
            <family val="2"/>
          </rPr>
          <t xml:space="preserve">
We support 
Standard/Enterprise/Data Center versions for the below OS versions
Win Svr 2008 R2 SP1  64 bit
Win Svr 2012 R2 64 bit
Win Svr 2012 64 bit</t>
        </r>
      </text>
    </comment>
    <comment ref="C62" authorId="0" shapeId="0" xr:uid="{00000000-0006-0000-0600-000011000000}">
      <text>
        <r>
          <rPr>
            <b/>
            <sz val="9"/>
            <color indexed="81"/>
            <rFont val="Tahoma"/>
            <family val="2"/>
          </rPr>
          <t>Choosing the appropriate RAID level is a matter of balancing performance with the most efficient use of resources.  Various RAID levels will offer different performance characteristics and some level of protection from disk failure(s).  GE will support any RAID level except RAID 0, provided the IOPS performance requirements on the 'Database Server Info' tab are met.</t>
        </r>
        <r>
          <rPr>
            <sz val="9"/>
            <color indexed="81"/>
            <rFont val="Tahoma"/>
            <family val="2"/>
          </rPr>
          <t xml:space="preserve">
</t>
        </r>
      </text>
    </comment>
    <comment ref="M62" authorId="0" shapeId="0" xr:uid="{00000000-0006-0000-0600-000012000000}">
      <text>
        <r>
          <rPr>
            <b/>
            <sz val="9"/>
            <color indexed="81"/>
            <rFont val="Tahoma"/>
            <family val="2"/>
          </rPr>
          <t>Choosing the appropriate RAID level is a matter of balancing performance with the most efficient use of resources.  Various RAID levels will offer different performance characteristics and some level of protection from disk failure(s).  GE will support any RAID level except RAID 0, provided the IOPS performance requirements on the 'Database Server Info' tab are met.</t>
        </r>
        <r>
          <rPr>
            <sz val="9"/>
            <color indexed="81"/>
            <rFont val="Tahoma"/>
            <family val="2"/>
          </rPr>
          <t xml:space="preserve">
</t>
        </r>
      </text>
    </comment>
    <comment ref="F66" authorId="1" shapeId="0" xr:uid="{00000000-0006-0000-0600-000013000000}">
      <text>
        <r>
          <rPr>
            <b/>
            <sz val="9"/>
            <color indexed="81"/>
            <rFont val="Tahoma"/>
            <family val="2"/>
          </rPr>
          <t>GE User:</t>
        </r>
        <r>
          <rPr>
            <sz val="9"/>
            <color indexed="81"/>
            <rFont val="Tahoma"/>
            <family val="2"/>
          </rPr>
          <t xml:space="preserve">
File Path: jboss\standalone\configuration\standalone.xml</t>
        </r>
      </text>
    </comment>
    <comment ref="K66" authorId="1" shapeId="0" xr:uid="{00000000-0006-0000-0600-000014000000}">
      <text>
        <r>
          <rPr>
            <b/>
            <sz val="9"/>
            <color indexed="81"/>
            <rFont val="Tahoma"/>
            <family val="2"/>
          </rPr>
          <t>GE User:</t>
        </r>
        <r>
          <rPr>
            <sz val="9"/>
            <color indexed="81"/>
            <rFont val="Tahoma"/>
            <family val="2"/>
          </rPr>
          <t xml:space="preserve">
File Path: jboss\standalone\configuration\standalone.xml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GE User</author>
  </authors>
  <commentList>
    <comment ref="H3" authorId="0" shapeId="0" xr:uid="{B25445C9-40E4-4B7B-8D5B-5E3C7A1F423B}">
      <text>
        <r>
          <rPr>
            <b/>
            <sz val="9"/>
            <color rgb="FF000000"/>
            <rFont val="Tahoma"/>
            <family val="2"/>
          </rPr>
          <t xml:space="preserve">Virence User:
</t>
        </r>
        <r>
          <rPr>
            <sz val="9"/>
            <color rgb="FF000000"/>
            <rFont val="Tahoma"/>
            <family val="2"/>
          </rPr>
          <t xml:space="preserve">If you have custom HTML forms, we will be using Chromium for opening some HTML forms. Please refer to Release Notes for more information. 
</t>
        </r>
        <r>
          <rPr>
            <sz val="9"/>
            <color rgb="FF000000"/>
            <rFont val="Tahoma"/>
            <family val="2"/>
          </rPr>
          <t xml:space="preserve">Chromium is an open source version of Google Chrome (www.chromium.org). This does not mean Google Chrome is supported
</t>
        </r>
      </text>
    </comment>
    <comment ref="H4" authorId="0" shapeId="0" xr:uid="{198CF045-892A-0F49-B640-6F478E546DCA}">
      <text>
        <r>
          <rPr>
            <b/>
            <sz val="9"/>
            <color rgb="FF000000"/>
            <rFont val="Tahoma"/>
            <family val="2"/>
          </rPr>
          <t xml:space="preserve">Virence User:
</t>
        </r>
        <r>
          <rPr>
            <sz val="9"/>
            <color rgb="FF000000"/>
            <rFont val="Tahoma"/>
            <family val="2"/>
          </rPr>
          <t xml:space="preserve">If you have custom HTML forms, we will be using Chromium for opening some HTML forms. Please refer to Release Notes for more information. 
</t>
        </r>
        <r>
          <rPr>
            <sz val="9"/>
            <color rgb="FF000000"/>
            <rFont val="Tahoma"/>
            <family val="2"/>
          </rPr>
          <t xml:space="preserve">Chromium is an open source version of Google Chrome (www.chromium.org). This does not mean Google Chrome is supported
</t>
        </r>
      </text>
    </comment>
    <comment ref="H8" authorId="0" shapeId="0" xr:uid="{1B4CB60A-28A2-ED4C-9C91-926791CCD525}">
      <text>
        <r>
          <rPr>
            <b/>
            <sz val="9"/>
            <color rgb="FF000000"/>
            <rFont val="Tahoma"/>
            <family val="2"/>
          </rPr>
          <t xml:space="preserve">Virence User:
</t>
        </r>
        <r>
          <rPr>
            <sz val="9"/>
            <color rgb="FF000000"/>
            <rFont val="Tahoma"/>
            <family val="2"/>
          </rPr>
          <t xml:space="preserve">If you have custom HTML forms, we will be using Chromium for opening some HTML forms. Please refer to Release Notes for more information. 
</t>
        </r>
        <r>
          <rPr>
            <sz val="9"/>
            <color rgb="FF000000"/>
            <rFont val="Tahoma"/>
            <family val="2"/>
          </rPr>
          <t xml:space="preserve">Chromium is an open source version of Google Chrome (www.chromium.org). This does not mean Google Chrome is supported
</t>
        </r>
      </text>
    </comment>
    <comment ref="H27" authorId="0" shapeId="0" xr:uid="{787D36F4-AEBE-489F-9298-A88C16F32D6D}">
      <text>
        <r>
          <rPr>
            <b/>
            <sz val="9"/>
            <color rgb="FF000000"/>
            <rFont val="Tahoma"/>
            <family val="2"/>
          </rPr>
          <t xml:space="preserve">Virence User:
</t>
        </r>
        <r>
          <rPr>
            <sz val="9"/>
            <color rgb="FF000000"/>
            <rFont val="Tahoma"/>
            <family val="2"/>
          </rPr>
          <t xml:space="preserve">If you have custom HTML forms, we will be using Chromium for opening some HTML forms. Please refer to Release Notes for more information. 
</t>
        </r>
        <r>
          <rPr>
            <sz val="9"/>
            <color rgb="FF000000"/>
            <rFont val="Tahoma"/>
            <family val="2"/>
          </rPr>
          <t xml:space="preserve">Chromium is an open source version of Google Chrome (www.chromium.org). This does not mean Google Chrome is supported
</t>
        </r>
      </text>
    </comment>
    <comment ref="H28" authorId="0" shapeId="0" xr:uid="{13D158E3-030F-496E-B2D1-FC94EE75909E}">
      <text>
        <r>
          <rPr>
            <b/>
            <sz val="9"/>
            <color rgb="FF000000"/>
            <rFont val="Tahoma"/>
            <family val="2"/>
          </rPr>
          <t xml:space="preserve">Virence User:
</t>
        </r>
        <r>
          <rPr>
            <sz val="9"/>
            <color rgb="FF000000"/>
            <rFont val="Tahoma"/>
            <family val="2"/>
          </rPr>
          <t xml:space="preserve">If you have custom HTML forms, we will be using Chromium for opening some HTML forms. Please refer to Release Notes for more information. 
</t>
        </r>
        <r>
          <rPr>
            <sz val="9"/>
            <color rgb="FF000000"/>
            <rFont val="Tahoma"/>
            <family val="2"/>
          </rPr>
          <t xml:space="preserve">Chromium is an open source version of Google Chrome (www.chromium.org). This does not mean Google Chrome is supported
</t>
        </r>
      </text>
    </comment>
    <comment ref="H29" authorId="0" shapeId="0" xr:uid="{D476A915-C2E9-4E57-916B-916822DF7A68}">
      <text>
        <r>
          <rPr>
            <b/>
            <sz val="9"/>
            <color rgb="FF000000"/>
            <rFont val="Tahoma"/>
            <family val="2"/>
          </rPr>
          <t xml:space="preserve">Virence User:
</t>
        </r>
        <r>
          <rPr>
            <sz val="9"/>
            <color rgb="FF000000"/>
            <rFont val="Tahoma"/>
            <family val="2"/>
          </rPr>
          <t xml:space="preserve">If you have custom HTML forms, we will be using Chromium for opening some HTML forms. Please refer to Release Notes for more information. 
</t>
        </r>
        <r>
          <rPr>
            <sz val="9"/>
            <color rgb="FF000000"/>
            <rFont val="Tahoma"/>
            <family val="2"/>
          </rPr>
          <t xml:space="preserve">Chromium is an open source version of Google Chrome (www.chromium.org). This does not mean Google Chrome is supported
</t>
        </r>
      </text>
    </comment>
    <comment ref="H30" authorId="0" shapeId="0" xr:uid="{A797AC42-F09A-4F1B-90A1-E0AFC4572139}">
      <text>
        <r>
          <rPr>
            <b/>
            <sz val="9"/>
            <color rgb="FF000000"/>
            <rFont val="Tahoma"/>
            <family val="2"/>
          </rPr>
          <t xml:space="preserve">Virence User:
</t>
        </r>
        <r>
          <rPr>
            <sz val="9"/>
            <color rgb="FF000000"/>
            <rFont val="Tahoma"/>
            <family val="2"/>
          </rPr>
          <t xml:space="preserve">If you have custom HTML forms, we will be using Chromium for opening some HTML forms. Please refer to Release Notes for more information. 
</t>
        </r>
        <r>
          <rPr>
            <sz val="9"/>
            <color rgb="FF000000"/>
            <rFont val="Tahoma"/>
            <family val="2"/>
          </rPr>
          <t xml:space="preserve">Chromium is an open source version of Google Chrome (www.chromium.org). This does not mean Google Chrome is supported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Oubre, Steve (GE Healthcare)</author>
  </authors>
  <commentList>
    <comment ref="R2" authorId="0" shapeId="0" xr:uid="{00000000-0006-0000-0800-000001000000}">
      <text>
        <r>
          <rPr>
            <b/>
            <sz val="9"/>
            <color indexed="81"/>
            <rFont val="Tahoma"/>
            <family val="2"/>
          </rPr>
          <t xml:space="preserve">Physician tasks:
</t>
        </r>
        <r>
          <rPr>
            <sz val="9"/>
            <color indexed="81"/>
            <rFont val="Tahoma"/>
            <family val="2"/>
          </rPr>
          <t>-Log in / Log out
-Bring up Chart Module / Join update
-New Medication update
-Allergy update
-Drug Interaction Check
-Problem update
-Change properties / Sign chart</t>
        </r>
      </text>
    </comment>
    <comment ref="R3" authorId="0" shapeId="0" xr:uid="{00000000-0006-0000-0800-000002000000}">
      <text>
        <r>
          <rPr>
            <b/>
            <sz val="9"/>
            <color indexed="81"/>
            <rFont val="Tahoma"/>
            <family val="2"/>
          </rPr>
          <t xml:space="preserve">Medical assistant tasks:
</t>
        </r>
        <r>
          <rPr>
            <sz val="9"/>
            <color indexed="81"/>
            <rFont val="Tahoma"/>
            <family val="2"/>
          </rPr>
          <t>-Log in / Log out
-Bring up chart module / Search for Patient name</t>
        </r>
        <r>
          <rPr>
            <b/>
            <sz val="9"/>
            <color indexed="81"/>
            <rFont val="Tahoma"/>
            <family val="2"/>
          </rPr>
          <t xml:space="preserve">
</t>
        </r>
        <r>
          <rPr>
            <sz val="9"/>
            <color indexed="81"/>
            <rFont val="Tahoma"/>
            <family val="2"/>
          </rPr>
          <t>-Bring up patient chart
-Start Chart Update (Gen Visit w/ Advisor or CCC*V8)
-Update flowsheet (enter vitals) and put on hold</t>
        </r>
      </text>
    </comment>
    <comment ref="R4" authorId="0" shapeId="0" xr:uid="{00000000-0006-0000-0800-000003000000}">
      <text>
        <r>
          <rPr>
            <b/>
            <sz val="9"/>
            <color indexed="81"/>
            <rFont val="Tahoma"/>
            <family val="2"/>
          </rPr>
          <t>Scheduler tasks</t>
        </r>
        <r>
          <rPr>
            <sz val="9"/>
            <color indexed="81"/>
            <rFont val="Tahoma"/>
            <family val="2"/>
          </rPr>
          <t>:
-View a schedule
-Create a new patient
-Schedule an appointment
-View patient information
-Modify patient information
-Create / modify a case</t>
        </r>
      </text>
    </comment>
    <comment ref="R5" authorId="0" shapeId="0" xr:uid="{00000000-0006-0000-0800-000004000000}">
      <text>
        <r>
          <rPr>
            <b/>
            <sz val="9"/>
            <color indexed="81"/>
            <rFont val="Tahoma"/>
            <family val="2"/>
          </rPr>
          <t>Check in tasks:
-</t>
        </r>
        <r>
          <rPr>
            <sz val="9"/>
            <color indexed="81"/>
            <rFont val="Tahoma"/>
            <family val="2"/>
          </rPr>
          <t>View a Schedule
-Post a Copay
-Modify patient information
-Import attachments
-View patient information
-Import external charges</t>
        </r>
      </text>
    </comment>
    <comment ref="R6" authorId="0" shapeId="0" xr:uid="{00000000-0006-0000-0800-000005000000}">
      <text>
        <r>
          <rPr>
            <b/>
            <sz val="9"/>
            <color indexed="81"/>
            <rFont val="Tahoma"/>
            <family val="2"/>
          </rPr>
          <t xml:space="preserve">Checkout tasks:
</t>
        </r>
        <r>
          <rPr>
            <sz val="9"/>
            <color indexed="81"/>
            <rFont val="Tahoma"/>
            <family val="2"/>
          </rPr>
          <t>-View a schedule
-Schedule an appointment
-Collections (rpt preview)
-Modify patient information
-Enter a charge</t>
        </r>
      </text>
    </comment>
    <comment ref="R7" authorId="0" shapeId="0" xr:uid="{00000000-0006-0000-0800-000006000000}">
      <text>
        <r>
          <rPr>
            <b/>
            <sz val="9"/>
            <color indexed="81"/>
            <rFont val="Tahoma"/>
            <family val="2"/>
          </rPr>
          <t xml:space="preserve">Billing Clerk tasks per patient visit:
</t>
        </r>
        <r>
          <rPr>
            <sz val="9"/>
            <color indexed="81"/>
            <rFont val="Tahoma"/>
            <family val="2"/>
          </rPr>
          <t>-Create statements
-View patient information
-Post insurance payment (electronic remittance)</t>
        </r>
      </text>
    </comment>
    <comment ref="R8" authorId="0" shapeId="0" xr:uid="{00000000-0006-0000-0800-000007000000}">
      <text>
        <r>
          <rPr>
            <b/>
            <sz val="9"/>
            <color indexed="81"/>
            <rFont val="Tahoma"/>
            <family val="2"/>
          </rPr>
          <t xml:space="preserve">Triage Nurse tasks:
</t>
        </r>
        <r>
          <rPr>
            <sz val="9"/>
            <color indexed="81"/>
            <rFont val="Tahoma"/>
            <family val="2"/>
          </rPr>
          <t>-Search for Patient name
-Bring up patient chart
-Update Med w/ refill (commit &amp; phone in)</t>
        </r>
      </text>
    </comment>
    <comment ref="R9" authorId="0" shapeId="0" xr:uid="{00000000-0006-0000-0800-000008000000}">
      <text>
        <r>
          <rPr>
            <b/>
            <sz val="9"/>
            <color indexed="81"/>
            <rFont val="Tahoma"/>
            <family val="2"/>
          </rPr>
          <t>Medical Records Clerk tasks:
-</t>
        </r>
        <r>
          <rPr>
            <sz val="9"/>
            <color indexed="81"/>
            <rFont val="Tahoma"/>
            <family val="2"/>
          </rPr>
          <t>The medical records clerk does inquiries and reports, assume one per patient visit.</t>
        </r>
      </text>
    </comment>
    <comment ref="R10" authorId="0" shapeId="0" xr:uid="{00000000-0006-0000-0800-000009000000}">
      <text>
        <r>
          <rPr>
            <b/>
            <sz val="9"/>
            <color indexed="81"/>
            <rFont val="Tahoma"/>
            <family val="2"/>
          </rPr>
          <t xml:space="preserve">Administrative tasks:
</t>
        </r>
        <r>
          <rPr>
            <sz val="9"/>
            <color indexed="81"/>
            <rFont val="Tahoma"/>
            <family val="2"/>
          </rPr>
          <t>-View schedule report
-View patient profile report
-View accounts receivable report
-View production analysis report
-View financial summary report</t>
        </r>
      </text>
    </comment>
    <comment ref="R11" authorId="0" shapeId="0" xr:uid="{00000000-0006-0000-0800-00000A000000}">
      <text>
        <r>
          <rPr>
            <b/>
            <sz val="9"/>
            <color indexed="81"/>
            <rFont val="Tahoma"/>
            <family val="2"/>
          </rPr>
          <t xml:space="preserve">Typical printing tasks:
</t>
        </r>
        <r>
          <rPr>
            <sz val="9"/>
            <color indexed="81"/>
            <rFont val="Tahoma"/>
            <family val="2"/>
          </rPr>
          <t>-Enc forms[Gen Visit w/ Advisor or CCC*V8] (1/sched pat)
-Prescriptions ( 3 / hour / MD )
-Full chart [loaded] ( 2 / hour / MD )
-Chart summary [loaded]
-Full chart [sparsely populated] ( 2 / hour / MD )
-Chart summary [sparsely populated]
-Fee Slip / Superbill ( 1 / pat. )</t>
        </r>
      </text>
    </comment>
    <comment ref="R12" authorId="0" shapeId="0" xr:uid="{00000000-0006-0000-0800-00000B000000}">
      <text>
        <r>
          <rPr>
            <b/>
            <sz val="9"/>
            <color indexed="81"/>
            <rFont val="Tahoma"/>
            <family val="2"/>
          </rPr>
          <t xml:space="preserve">Typical printing tasks for other users: 
</t>
        </r>
        <r>
          <rPr>
            <sz val="9"/>
            <color indexed="81"/>
            <rFont val="Tahoma"/>
            <family val="2"/>
          </rPr>
          <t>-Fee Slip / Superbill ( 1 / pat. ): Assumed that only 1/2 of the non-clinical users with the exception of the Triage Nurse will typically print some type of report or document.  In this case the Fee slip / superbill is selected as a representative document / report size.</t>
        </r>
      </text>
    </comment>
    <comment ref="R13" authorId="0" shapeId="0" xr:uid="{00000000-0006-0000-0800-00000C000000}">
      <text>
        <r>
          <rPr>
            <b/>
            <sz val="9"/>
            <color indexed="81"/>
            <rFont val="Tahoma"/>
            <family val="2"/>
          </rPr>
          <t>Application Invoke</t>
        </r>
        <r>
          <rPr>
            <sz val="9"/>
            <color indexed="81"/>
            <rFont val="Tahoma"/>
            <family val="2"/>
          </rPr>
          <t xml:space="preserve"> (typically once per day per user)
1st time Login / Logout (typically once per day per following user: FD*, RC, BC, Rx, MRC, OM)</t>
        </r>
      </text>
    </comment>
  </commentList>
</comments>
</file>

<file path=xl/sharedStrings.xml><?xml version="1.0" encoding="utf-8"?>
<sst xmlns="http://schemas.openxmlformats.org/spreadsheetml/2006/main" count="2414" uniqueCount="1234">
  <si>
    <t>No</t>
  </si>
  <si>
    <t>MB</t>
  </si>
  <si>
    <t>If not using ePrescribing or PM-only installation, select 'No'.</t>
  </si>
  <si>
    <t>Daily Operation</t>
  </si>
  <si>
    <t>Formulary Loads</t>
  </si>
  <si>
    <t>GB</t>
  </si>
  <si>
    <t>IOPS</t>
  </si>
  <si>
    <t>DB file type</t>
  </si>
  <si>
    <t>RAID level</t>
  </si>
  <si>
    <t>Reads</t>
  </si>
  <si>
    <t>Writes</t>
  </si>
  <si>
    <t>Transaction Logs:</t>
  </si>
  <si>
    <t>Note 1:</t>
  </si>
  <si>
    <t>Note 2:</t>
  </si>
  <si>
    <t>Note 3:</t>
  </si>
  <si>
    <t>Note 4:</t>
  </si>
  <si>
    <t>For user loads over 25, a caching RAID controller is STRONGLY RECOMMENDED.</t>
  </si>
  <si>
    <t>Note 5:</t>
  </si>
  <si>
    <t>Note 6:</t>
  </si>
  <si>
    <t>Note 7:</t>
  </si>
  <si>
    <t xml:space="preserve"> #Multi-core CPUs</t>
  </si>
  <si>
    <t xml:space="preserve"> </t>
  </si>
  <si>
    <t xml:space="preserve">If you are not virtualizing, will you be running separate DBase and App Servers ? </t>
  </si>
  <si>
    <t>Users per processor</t>
  </si>
  <si>
    <t xml:space="preserve">MB per user session </t>
  </si>
  <si>
    <t>processors</t>
  </si>
  <si>
    <t>Servers</t>
  </si>
  <si>
    <t>RAID 1 config</t>
  </si>
  <si>
    <t>Minimum RAM per host (GB)</t>
  </si>
  <si>
    <t>Storage per host (GB)</t>
  </si>
  <si>
    <t>GE Spec</t>
  </si>
  <si>
    <t>Customer Config</t>
  </si>
  <si>
    <t># vCPUs</t>
  </si>
  <si>
    <t>RAM (GB)</t>
  </si>
  <si>
    <t>Disk Storage (GB)</t>
  </si>
  <si>
    <t>Daily Operation Reads</t>
  </si>
  <si>
    <t>Daily Operation Writes</t>
  </si>
  <si>
    <t>VM Host CPUs Oversubscribed?</t>
  </si>
  <si>
    <t>VM Host RAM Oversubscribed?</t>
  </si>
  <si>
    <t>Citrix VM Host Oversubscribed?</t>
  </si>
  <si>
    <t>Based upon answers given on the Config_Citrix worksheet (assuming all VMs on host configured the same (i.e. cpu, ram, storage)</t>
  </si>
  <si>
    <t>In Spec?</t>
  </si>
  <si>
    <t>SSD</t>
  </si>
  <si>
    <t>64-bit Stand-Alone Servers needed</t>
  </si>
  <si>
    <t>Enter Storage Type</t>
  </si>
  <si>
    <t>Disk</t>
  </si>
  <si>
    <t>Customer name:</t>
  </si>
  <si>
    <t>Contact Email:</t>
  </si>
  <si>
    <t>Contact name:</t>
  </si>
  <si>
    <t>VIRTUALIZED HW REQUIREMENTS</t>
  </si>
  <si>
    <t>STAND ALONE HW REQUIREMENTS (IF NOT VIRTUALIZED)</t>
  </si>
  <si>
    <t>Yes</t>
  </si>
  <si>
    <t>Please complete all blue cells</t>
  </si>
  <si>
    <t>Default Auditing</t>
  </si>
  <si>
    <t>Full Auditing</t>
  </si>
  <si>
    <t>Usable</t>
  </si>
  <si>
    <t>Disk Space</t>
  </si>
  <si>
    <t>Will ePrescribing be enabled?</t>
  </si>
  <si>
    <t>Enter Formulary Load Time Window (in minutes):</t>
  </si>
  <si>
    <t>Clinical Information (Please use this section to enter clinical information pertaining to your organization)</t>
  </si>
  <si>
    <t>Select One:</t>
  </si>
  <si>
    <t>Level of Clinical Auditing to be enabled?</t>
  </si>
  <si>
    <t>Tab</t>
  </si>
  <si>
    <t>Clinical Info</t>
  </si>
  <si>
    <t>Windows Server Info</t>
  </si>
  <si>
    <t>Yes - VMWare</t>
  </si>
  <si>
    <t>Yes- Hyper-V</t>
  </si>
  <si>
    <t>Will the CPS staging area / client install be located on the same server and volume as the Centricity 10.x database?</t>
  </si>
  <si>
    <t>Additional disk space needed for staging area / client install on volume:</t>
  </si>
  <si>
    <t>Total Windows memory requirements:</t>
  </si>
  <si>
    <t>MB     or</t>
  </si>
  <si>
    <t>Amount of RAM required.  This number must be a minimum of:</t>
  </si>
  <si>
    <t>Will CCC clinical content be enabled:</t>
  </si>
  <si>
    <t>Maximum number of user sessions per processor core:</t>
  </si>
  <si>
    <t>Total number of processors needed:</t>
  </si>
  <si>
    <t>Total amount of RAM needed:</t>
  </si>
  <si>
    <t>Terminal Services Info</t>
  </si>
  <si>
    <t>Are you Virtualizing your Citrix or Windows Terminal Servers:</t>
  </si>
  <si>
    <t xml:space="preserve"> Will your server be virtualized? If yes, specify the technology:</t>
  </si>
  <si>
    <t>Total number of Citrix / Terminal Servers needed:</t>
  </si>
  <si>
    <t>Number of quad core CPUs needed per server:</t>
  </si>
  <si>
    <t>Amount of RAM needed per server:</t>
  </si>
  <si>
    <t>Number of disks needed per server:</t>
  </si>
  <si>
    <t xml:space="preserve">       </t>
  </si>
  <si>
    <t>Number of VMs needed for concurrent user load:</t>
  </si>
  <si>
    <t>Amount of virtual RAM needed per vm:</t>
  </si>
  <si>
    <t>Amount of disk storage needed per vm:</t>
  </si>
  <si>
    <t>Configuration Checklist</t>
  </si>
  <si>
    <t>Number of physical CPU sockets populated per host:</t>
  </si>
  <si>
    <t>Physical RAM per host in GB:</t>
  </si>
  <si>
    <t>VMs per host:</t>
  </si>
  <si>
    <t>Enter DB Disk Raid Level:</t>
  </si>
  <si>
    <t>The storage requirements specified above are in addition to the RAID 1 set(s) required for the OS, SQL Server binaries and swapfile.</t>
  </si>
  <si>
    <t>There are many ways to provide adequate I/O performance. The table above describes one possibility.</t>
  </si>
  <si>
    <t>Windows Server Requirements</t>
  </si>
  <si>
    <t>T7</t>
  </si>
  <si>
    <t>T9</t>
  </si>
  <si>
    <t>MEMORY/CPU REQUIREMENTS</t>
  </si>
  <si>
    <t>Raid6</t>
  </si>
  <si>
    <t>Raid0</t>
  </si>
  <si>
    <t>Other</t>
  </si>
  <si>
    <t>Used In</t>
  </si>
  <si>
    <t>Value</t>
  </si>
  <si>
    <t>Users per core, CCC = NO</t>
  </si>
  <si>
    <t>Users per core, CCC = YES</t>
  </si>
  <si>
    <t>S58 is an artifact from the original port of the CEMR hardware calculator to CPS.  It referred to the “memory multiplier”, a built-in scaling factor we used to pad the amount of RAM needed.</t>
  </si>
  <si>
    <t>Number of disks needed per server</t>
  </si>
  <si>
    <r>
      <t>·</t>
    </r>
    <r>
      <rPr>
        <sz val="7"/>
        <color indexed="56"/>
        <rFont val="Times New Roman"/>
        <family val="1"/>
      </rPr>
      <t xml:space="preserve">         </t>
    </r>
    <r>
      <rPr>
        <sz val="10"/>
        <color indexed="56"/>
        <rFont val="Arial"/>
        <family val="2"/>
      </rPr>
      <t xml:space="preserve">P25 on the Config_Citrix tab </t>
    </r>
    <r>
      <rPr>
        <sz val="10"/>
        <color indexed="60"/>
        <rFont val="Arial"/>
        <family val="2"/>
      </rPr>
      <t xml:space="preserve">Static value for RAM in MB </t>
    </r>
  </si>
  <si>
    <r>
      <t>·</t>
    </r>
    <r>
      <rPr>
        <sz val="7"/>
        <color indexed="56"/>
        <rFont val="Times New Roman"/>
        <family val="1"/>
      </rPr>
      <t xml:space="preserve">         </t>
    </r>
    <r>
      <rPr>
        <sz val="10"/>
        <color indexed="56"/>
        <rFont val="Arial"/>
        <family val="2"/>
      </rPr>
      <t xml:space="preserve">P26 on the Config_Citrix tab </t>
    </r>
    <r>
      <rPr>
        <sz val="10"/>
        <color indexed="60"/>
        <rFont val="Arial"/>
        <family val="2"/>
      </rPr>
      <t>Static value for RAM in MB</t>
    </r>
  </si>
  <si>
    <t>Are you using Citrix or Terminal Services:</t>
  </si>
  <si>
    <t>P30 Number of quad core CPUs needed per server:</t>
  </si>
  <si>
    <t>Enter the memory requirement for optionally loaded executables (ie AV, backup agents, etc.)</t>
  </si>
  <si>
    <t>Citrix/Terminal Service Server VM</t>
  </si>
  <si>
    <t>Virtual Configuration Checklist</t>
  </si>
  <si>
    <t>7200 RPM</t>
  </si>
  <si>
    <t>10K RPM</t>
  </si>
  <si>
    <t>15K RPM</t>
  </si>
  <si>
    <t>Enter Disk RPM Speed :</t>
  </si>
  <si>
    <t>Level of Clinical Auditing to be enabled?
--&gt;Full auditing is all options enabled. Default is out of the box configuration.</t>
  </si>
  <si>
    <t>Disk Spindle Count:</t>
  </si>
  <si>
    <t>Number of physical cores per CPU</t>
  </si>
  <si>
    <t>CPU Model number (i.e. 5640)</t>
  </si>
  <si>
    <t>Storage Type</t>
  </si>
  <si>
    <t>Disk RPM Speed (K RPM)</t>
  </si>
  <si>
    <t>DB Raid Level</t>
  </si>
  <si>
    <t>If Raid=other, enter Raid Level</t>
  </si>
  <si>
    <t>DB Storage IOPS requirements</t>
  </si>
  <si>
    <t>Configuration Checklist - Standalone Physical Servers</t>
  </si>
  <si>
    <t xml:space="preserve">Standalone Citrix/Windows Terminal Services Server </t>
  </si>
  <si>
    <t>Configuration Checklist - Virtualized Servers</t>
  </si>
  <si>
    <t># of Disks Allocated to Database:</t>
  </si>
  <si>
    <t>Hyper-Threading Enabled ?</t>
  </si>
  <si>
    <t>Database Usable Disk Storage (GB)</t>
  </si>
  <si>
    <t>Physical Configuration Checklist</t>
  </si>
  <si>
    <t>processor model range</t>
  </si>
  <si>
    <t>cpu sockets</t>
  </si>
  <si>
    <t>cpu cores per socket</t>
  </si>
  <si>
    <t>Usable Disk Storage (GB)</t>
  </si>
  <si>
    <t>Citrix server spindle count (don't want alpha)</t>
  </si>
  <si>
    <r>
      <rPr>
        <b/>
        <sz val="11"/>
        <color indexed="8"/>
        <rFont val="Arial"/>
        <family val="2"/>
      </rPr>
      <t xml:space="preserve">Database Server Info: </t>
    </r>
    <r>
      <rPr>
        <sz val="10"/>
        <color indexed="8"/>
        <rFont val="Arial"/>
        <family val="2"/>
      </rPr>
      <t xml:space="preserve"> Please have your IT staff or IT Services provider complete this tab.  Information requested includes questions about your 64-bit Windows Server and Virtualization environment if applicable. This section will display RAM, CPU core, and disk drive environment recommendations based on the answers supplied.</t>
    </r>
  </si>
  <si>
    <t>Raid1 or 10</t>
  </si>
  <si>
    <t xml:space="preserve">Server OS </t>
  </si>
  <si>
    <t>Windows Server Levels</t>
  </si>
  <si>
    <t>Dbase server info, Physical Server info</t>
  </si>
  <si>
    <t>Core Count</t>
  </si>
  <si>
    <t># of Disks Allocated to Server:</t>
  </si>
  <si>
    <t>Raid Level</t>
  </si>
  <si>
    <t>Tab-Row</t>
  </si>
  <si>
    <t>Clinical Info-Row 6</t>
  </si>
  <si>
    <t>Clinical Info-Row 7</t>
  </si>
  <si>
    <t>Clinical Info-Row 8</t>
  </si>
  <si>
    <t>Clinical Info-Row 9</t>
  </si>
  <si>
    <t>Clinical Info-Row 10</t>
  </si>
  <si>
    <t>Clinical Info-Row 11</t>
  </si>
  <si>
    <t>Clinical Info-Row 12</t>
  </si>
  <si>
    <t>Clinical Info-Row 13</t>
  </si>
  <si>
    <t>Clinical Info-Row 14</t>
  </si>
  <si>
    <t>Clinical Info-Row 15</t>
  </si>
  <si>
    <t>Clinical Info-Row 16</t>
  </si>
  <si>
    <t>Clinical Info-Row 17</t>
  </si>
  <si>
    <t>Clinical Info-Row 18</t>
  </si>
  <si>
    <t>Database Server Info-Row3</t>
  </si>
  <si>
    <t>Database Server Info-Row4</t>
  </si>
  <si>
    <t>Database Server Info-Row5</t>
  </si>
  <si>
    <t>Database Server Info-Row7</t>
  </si>
  <si>
    <t>Database Server Info-Row8</t>
  </si>
  <si>
    <t>Database Server Info-Row9</t>
  </si>
  <si>
    <t>Database Server Info-Row10</t>
  </si>
  <si>
    <t>Citrix or Terminal Servers Info-Row3</t>
  </si>
  <si>
    <t>Citrix or Terminal Servers Info-Row5</t>
  </si>
  <si>
    <t>Citrix or Terminal Servers Info-Row6</t>
  </si>
  <si>
    <t>Citrix or Terminal Servers Info-Row7</t>
  </si>
  <si>
    <t>Citrix or Terminal Servers Info-Row8</t>
  </si>
  <si>
    <t>Citrix or Terminal Servers Info-Row9</t>
  </si>
  <si>
    <t>Citrix or Terminal Servers Info-Row19</t>
  </si>
  <si>
    <t>may not be needed</t>
  </si>
  <si>
    <t>Virtualized Config Checklist-Row5H</t>
  </si>
  <si>
    <t>Virtualized Config Checklist-Row6H</t>
  </si>
  <si>
    <t>Virtualized Config Checklist-Row7H</t>
  </si>
  <si>
    <t>Virtualized Config Checklist-Row5M</t>
  </si>
  <si>
    <t>Virtualized Config Checklist-Row6M</t>
  </si>
  <si>
    <t>Virtualized Config Checklist-Row7M</t>
  </si>
  <si>
    <t>Virtualized Config Checklist-Row8M</t>
  </si>
  <si>
    <t>Virtualized Config Checklist-Row15D</t>
  </si>
  <si>
    <t>Virtualized Config Checklist-Row16D</t>
  </si>
  <si>
    <t>Virtualized Config Checklist-Row17D</t>
  </si>
  <si>
    <t>Virtualized Config Checklist-Row18D</t>
  </si>
  <si>
    <t>Virtualized Config Checklist-Row19D</t>
  </si>
  <si>
    <t>Virtualized Config Checklist-Row15I</t>
  </si>
  <si>
    <t>Virtualized Config Checklist-Row16I</t>
  </si>
  <si>
    <t>Virtualized Config Checklist-Row17I</t>
  </si>
  <si>
    <t>Virtualized Config Checklist-Row18I</t>
  </si>
  <si>
    <t>Virtualized Config Checklist-Row15N</t>
  </si>
  <si>
    <t>Virtualized Config Checklist-Row16N</t>
  </si>
  <si>
    <t>Virtualized Config Checklist-Row18N</t>
  </si>
  <si>
    <t>this required</t>
  </si>
  <si>
    <t>need to make sure they cannot enter blanks</t>
  </si>
  <si>
    <t>is this conditional on another cell?</t>
  </si>
  <si>
    <t>DB Server VM # vCPUs</t>
  </si>
  <si>
    <t>DB Server VMRAM (GB)</t>
  </si>
  <si>
    <t>DB Server VM Disk Storage (GB)</t>
  </si>
  <si>
    <t>Details</t>
  </si>
  <si>
    <t>See Database Server Info tab cell L9</t>
  </si>
  <si>
    <t>See Virtualized Config Checklist tab cell D5</t>
  </si>
  <si>
    <t>See Virtualized Config Checklist tab cell D6</t>
  </si>
  <si>
    <t>See Virtualized Config Checklist tab cell D7</t>
  </si>
  <si>
    <t>See Virtualized Config Checklist tab cell H5</t>
  </si>
  <si>
    <t>See Virtualized Config Checklist tab cell H6</t>
  </si>
  <si>
    <t>See Virtualized Config Checklist tab cell H7</t>
  </si>
  <si>
    <t>See Virtualized Config Checklist tab cell M5</t>
  </si>
  <si>
    <t>See Virtualized Config Checklist tab cell M6</t>
  </si>
  <si>
    <t>See Virtualized Config Checklist tab cell M7</t>
  </si>
  <si>
    <t>See Virtualized Config Checklist tab cell M8</t>
  </si>
  <si>
    <t>Application Server VM  # vCPUs</t>
  </si>
  <si>
    <t>Citrix/Terminal Service Server VM  # vCPUs</t>
  </si>
  <si>
    <t>Application Server VMRAM (GB)</t>
  </si>
  <si>
    <t>Citrix/Terminal Service Server VMRAM (GB)</t>
  </si>
  <si>
    <t>Application Server VM Disk Storage (GB)</t>
  </si>
  <si>
    <t>Citrix/Terminal Service Server VM Disk Storage (GB)</t>
  </si>
  <si>
    <t>Citrix/Terminal Service Server VM Allocated Users</t>
  </si>
  <si>
    <t>Data Status</t>
  </si>
  <si>
    <t>Windows Server Version for Servers/VM's</t>
  </si>
  <si>
    <t>Physical Config Checklist-RowB4</t>
  </si>
  <si>
    <t>Physical Config Checklist-RowB5</t>
  </si>
  <si>
    <t>Physical Config Checklist-RowB6</t>
  </si>
  <si>
    <t>Physical Config Checklist-RowB7</t>
  </si>
  <si>
    <t>Physical Config Checklist-RowB8</t>
  </si>
  <si>
    <t>Physical Config Checklist-RowB9</t>
  </si>
  <si>
    <t>Physical Config Checklist-RowB10</t>
  </si>
  <si>
    <t>Physical Config Checklist-RowB12</t>
  </si>
  <si>
    <t>Physical Config Checklist-RowB13</t>
  </si>
  <si>
    <t>Physical Config Checklist-RowB14</t>
  </si>
  <si>
    <t>Physical Config Checklist-RowB15</t>
  </si>
  <si>
    <t>Physical Config Checklist-RowB16</t>
  </si>
  <si>
    <t>Physical Config Checklist-RowG4</t>
  </si>
  <si>
    <t>Physical Config Checklist-RowG5</t>
  </si>
  <si>
    <t>Physical Config Checklist-RowG6</t>
  </si>
  <si>
    <t>Physical Config Checklist-RowG8</t>
  </si>
  <si>
    <t>Physical Config Checklist-RowG9</t>
  </si>
  <si>
    <t>Physical Config Checklist-RowG10</t>
  </si>
  <si>
    <t>Physical Config Checklist-RowL4</t>
  </si>
  <si>
    <t>Physical Config Checklist-RowL5</t>
  </si>
  <si>
    <t>Physical Config Checklist-RowL6</t>
  </si>
  <si>
    <t>Physical Config Checklist-RowL7</t>
  </si>
  <si>
    <t>Physical Config Checklist-RowL8</t>
  </si>
  <si>
    <t>Physical Config Checklist-RowL10</t>
  </si>
  <si>
    <t>Physical Config Checklist-RowL11</t>
  </si>
  <si>
    <t>Physical Config Checklist-RowL12</t>
  </si>
  <si>
    <t>Physical Config Checklist-RowL13</t>
  </si>
  <si>
    <t>Physical Config Checklist-RowL14</t>
  </si>
  <si>
    <t>Physical Config Checklist-RowL15</t>
  </si>
  <si>
    <t>Physical Config Checklist-RowL16</t>
  </si>
  <si>
    <t>Physical Config Checklist-RowL17</t>
  </si>
  <si>
    <t>Component</t>
  </si>
  <si>
    <t xml:space="preserve">Will the DBase and App Server be combined on the same server ? </t>
  </si>
  <si>
    <t>Single Server for DB and App Servers</t>
  </si>
  <si>
    <t>See Database Server Info tab cell K4</t>
  </si>
  <si>
    <t>Physical DB Server CPU Model</t>
  </si>
  <si>
    <t>Physical DB Server RAM</t>
  </si>
  <si>
    <t>Physical DB Server Operating System</t>
  </si>
  <si>
    <t>Physical DB Server Usable Disk Space</t>
  </si>
  <si>
    <t>Physical DB Server Raid Level</t>
  </si>
  <si>
    <t>Physical DB Server CPU Core Count</t>
  </si>
  <si>
    <t>See Physical Config Checklist tab cell D12</t>
  </si>
  <si>
    <t>See Physical Config Checklist tab cell D13</t>
  </si>
  <si>
    <t>See Physical Config Checklist tab cell D14</t>
  </si>
  <si>
    <t>See Physical Config Checklist tab cell D15</t>
  </si>
  <si>
    <t>See Physical Config Checklist tab cell D16</t>
  </si>
  <si>
    <t>Physical DB Server Disk RPM Speed</t>
  </si>
  <si>
    <t>See Physical Config Checklist tab cell B9</t>
  </si>
  <si>
    <t>Physical App Server CPU Core Count</t>
  </si>
  <si>
    <t>Physical App Server CPU Model</t>
  </si>
  <si>
    <t>Physical App Server RAM</t>
  </si>
  <si>
    <t>Physical App Server Operating System</t>
  </si>
  <si>
    <t>Physical Citrix or Win Trm Svr Terminal Count</t>
  </si>
  <si>
    <t>Physical Citrix or Win Trm Svr  CPU Model</t>
  </si>
  <si>
    <t>Physical Citrix or Win Trm Svr  RAM</t>
  </si>
  <si>
    <t>Physical Citrix or Win Trm Svr  Operating System</t>
  </si>
  <si>
    <t>Physical Citrix or Win Trm Svr  Usable Disk Space</t>
  </si>
  <si>
    <t>Physical Citrix or Win Trm Svr  Raid Level</t>
  </si>
  <si>
    <t>Physical Citrix or Win Trm Svr  CPU Core Count</t>
  </si>
  <si>
    <t>Physical Citrix or Win Trm Svr Terms per Server</t>
  </si>
  <si>
    <t>Allocated Terminals  per server</t>
  </si>
  <si>
    <t>See Physical Config Checklist tab cell N10</t>
  </si>
  <si>
    <t>See Physical Config Checklist tab cell N11</t>
  </si>
  <si>
    <t>See Physical Config Checklist tab cell N12</t>
  </si>
  <si>
    <t>See Physical Config Checklist tab cell N13</t>
  </si>
  <si>
    <t>See Physical Config Checklist tab cell N14</t>
  </si>
  <si>
    <t>See Physical Config Checklist tab cell N16</t>
  </si>
  <si>
    <t>See Physical Config Checklist tab cell N17</t>
  </si>
  <si>
    <t>See Physical Config Checklist tab cell N18</t>
  </si>
  <si>
    <r>
      <rPr>
        <b/>
        <sz val="11"/>
        <color indexed="8"/>
        <rFont val="Arial"/>
        <family val="2"/>
      </rPr>
      <t>Warnings:</t>
    </r>
    <r>
      <rPr>
        <sz val="10"/>
        <color indexed="8"/>
        <rFont val="Arial"/>
        <family val="2"/>
      </rPr>
      <t xml:space="preserve"> Check this tab for information regarding any deficiencies with your configuration or fields with missing data. </t>
    </r>
  </si>
  <si>
    <t>Physical DB/App Server Disk RPM Speed</t>
  </si>
  <si>
    <t>Physical DB/App Server CPU Model</t>
  </si>
  <si>
    <t>Physical DB/App Server RAM</t>
  </si>
  <si>
    <t>Physical DB/App Server Operating System</t>
  </si>
  <si>
    <t>Physical DB/App Server Usable Disk Space</t>
  </si>
  <si>
    <t>Physical DB/App Server Raid Level</t>
  </si>
  <si>
    <t>Physical DB/App Server CPU Core Count</t>
  </si>
  <si>
    <t>Enter the total number of medical practitioners :</t>
  </si>
  <si>
    <t>See Physical Config Checklist tab cell D18</t>
  </si>
  <si>
    <t>See Physical Config Checklist tab cell D25</t>
  </si>
  <si>
    <t>See Physical Config Checklist tab cell D26</t>
  </si>
  <si>
    <t>See Physical Config Checklist tab cell D27</t>
  </si>
  <si>
    <t>See Physical Config Checklist tab cell D28</t>
  </si>
  <si>
    <t>See Physical Config Checklist tab cell I12</t>
  </si>
  <si>
    <t>See Physical Config Checklist tab cell I13</t>
  </si>
  <si>
    <t>See Physical Config Checklist tab cell I14</t>
  </si>
  <si>
    <t>See Physical Config Checklist tab cell I15</t>
  </si>
  <si>
    <t>See Physical Config Checklist tab cell I16</t>
  </si>
  <si>
    <t>See Physical Config Checklist tab cell I18</t>
  </si>
  <si>
    <t>See Physical Config Checklist tab cell G9</t>
  </si>
  <si>
    <t>Enter the estimated number of concurrent users:</t>
  </si>
  <si>
    <t>Enter the total number of medical practitioners (primary and secondary) Using Terminal Server</t>
  </si>
  <si>
    <t>Physical</t>
  </si>
  <si>
    <t>Hyperthreading?</t>
  </si>
  <si>
    <t xml:space="preserve">Standalone Dbase Server </t>
  </si>
  <si>
    <t>i.e. Images of  patient photos  captured into system via Digital Camera</t>
  </si>
  <si>
    <r>
      <t xml:space="preserve">Enter the size of the existing </t>
    </r>
    <r>
      <rPr>
        <b/>
        <sz val="11"/>
        <rFont val="Calibri"/>
        <family val="2"/>
      </rPr>
      <t>Centricity EMR 9.x</t>
    </r>
    <r>
      <rPr>
        <sz val="11"/>
        <rFont val="Calibri"/>
        <family val="2"/>
      </rPr>
      <t xml:space="preserve"> Oracle dbase if being migrated to CPS.  If not Migrating from Centricity Oracle EMR or if you are  PM-only  leave at 0 please</t>
    </r>
  </si>
  <si>
    <t>Assumptions:</t>
  </si>
  <si>
    <t>#Patients/hour/MD:</t>
  </si>
  <si>
    <t>#Prescriptions/hour/MD:</t>
  </si>
  <si>
    <t>#RxRefills/hour:</t>
  </si>
  <si>
    <t>Bitrate</t>
  </si>
  <si>
    <t>Burst rate</t>
  </si>
  <si>
    <t>per user</t>
  </si>
  <si>
    <t>Bit Rate</t>
  </si>
  <si>
    <t>Burst Rate</t>
  </si>
  <si>
    <t>MD</t>
  </si>
  <si>
    <t>=</t>
  </si>
  <si>
    <t>*</t>
  </si>
  <si>
    <t>Kbits/sec</t>
  </si>
  <si>
    <t>MA</t>
  </si>
  <si>
    <t>FD1</t>
  </si>
  <si>
    <t>FD2</t>
  </si>
  <si>
    <t>RC</t>
  </si>
  <si>
    <t>BC</t>
  </si>
  <si>
    <t>Rx</t>
  </si>
  <si>
    <t>MRC</t>
  </si>
  <si>
    <t>OM</t>
  </si>
  <si>
    <t>Printing</t>
  </si>
  <si>
    <t>Printing(b)</t>
  </si>
  <si>
    <t>Invoke</t>
  </si>
  <si>
    <t xml:space="preserve">Total Bit Rate for </t>
  </si>
  <si>
    <t xml:space="preserve"> Physician Clinic</t>
  </si>
  <si>
    <t>Mbits/sec</t>
  </si>
  <si>
    <t>Total burst rate</t>
  </si>
  <si>
    <t xml:space="preserve">Avg. Bit Rate for </t>
  </si>
  <si>
    <t>Note:</t>
  </si>
  <si>
    <t>(b) If PM-only, printing bitrate / burstrate calculated at 50% of non-emr users specified in blue cells</t>
  </si>
  <si>
    <t xml:space="preserve">   printing out a fee slip.</t>
  </si>
  <si>
    <t>Citrix (ICA) bitrate calculator</t>
  </si>
  <si>
    <r>
      <rPr>
        <b/>
        <sz val="11"/>
        <color indexed="8"/>
        <rFont val="Arial"/>
        <family val="2"/>
      </rPr>
      <t>Citrix or Terminal Server Info:</t>
    </r>
    <r>
      <rPr>
        <sz val="10"/>
        <color indexed="8"/>
        <rFont val="Arial"/>
        <family val="2"/>
      </rPr>
      <t xml:space="preserve"> If not using Citrix or Windows Terminal Services, please answer “no” to the first question and proceed to the next tab. If you are using Citrix or Windows Terminal Services, please supply requested information regarding your proposed Citrix or WTS environment. Specifications for Virtual or Stand-alone environments will be displayed based on your answers.</t>
    </r>
  </si>
  <si>
    <r>
      <rPr>
        <b/>
        <sz val="11"/>
        <color indexed="8"/>
        <rFont val="Arial"/>
        <family val="2"/>
      </rPr>
      <t>Network Bitrate Calculations</t>
    </r>
    <r>
      <rPr>
        <b/>
        <sz val="10"/>
        <color indexed="8"/>
        <rFont val="Arial"/>
        <family val="2"/>
      </rPr>
      <t>:</t>
    </r>
    <r>
      <rPr>
        <sz val="10"/>
        <color indexed="8"/>
        <rFont val="Arial"/>
        <family val="2"/>
      </rPr>
      <t xml:space="preserve"> Use this tab to calculate your network throughput requirements for either 2-tier (fat client) or 3-tier (Citrix or Windows Terminal Services) deployments. Fill in the numbers for each type of user in the site you wish to estimate.</t>
    </r>
  </si>
  <si>
    <t>Windows Terminal Services (RDP) bitrate calculator</t>
  </si>
  <si>
    <t>2-tier / Fat client bitrate calculator</t>
  </si>
  <si>
    <t>3-Tier Calculators - use the one that fits your deployment model.</t>
  </si>
  <si>
    <t>FMY IOPS</t>
  </si>
  <si>
    <t>User IOPS</t>
  </si>
  <si>
    <t>per data load</t>
  </si>
  <si>
    <t>per 8hr day</t>
  </si>
  <si>
    <t>redo:</t>
  </si>
  <si>
    <t>reads:</t>
  </si>
  <si>
    <t>writes:</t>
  </si>
  <si>
    <t>Tablespace</t>
  </si>
  <si>
    <t>Logician data space</t>
  </si>
  <si>
    <t>Docimages data space</t>
  </si>
  <si>
    <t>Logician Index</t>
  </si>
  <si>
    <t>Logician Audit data space</t>
  </si>
  <si>
    <t>L3</t>
  </si>
  <si>
    <t>Photo space</t>
  </si>
  <si>
    <t>Oracle Bin/db build scripts</t>
  </si>
  <si>
    <t>ReadOnly*</t>
  </si>
  <si>
    <t>Redo1 log space*</t>
  </si>
  <si>
    <t>Redo2 log space*</t>
  </si>
  <si>
    <t>Undo*</t>
  </si>
  <si>
    <t>Archive space*</t>
  </si>
  <si>
    <t>Audit Flag</t>
  </si>
  <si>
    <t>eRx Enabled</t>
  </si>
  <si>
    <t>Index</t>
  </si>
  <si>
    <t>Raid Levels</t>
  </si>
  <si>
    <t>Write Pnlty</t>
  </si>
  <si>
    <t>RPM</t>
  </si>
  <si>
    <t>Current Array IOPS Calculator</t>
  </si>
  <si>
    <t>Frontend IOPS:</t>
  </si>
  <si>
    <t>Use this for calculating your current raw IOPS</t>
  </si>
  <si>
    <t># Disks</t>
  </si>
  <si>
    <t>% Read IOs</t>
  </si>
  <si>
    <t>Disk RPM / Type</t>
  </si>
  <si>
    <t>% Write IOs</t>
  </si>
  <si>
    <t>Avg IOPS per Disk</t>
  </si>
  <si>
    <t>eSSD</t>
  </si>
  <si>
    <t>RAID Type</t>
  </si>
  <si>
    <t>RAID Configuration</t>
  </si>
  <si>
    <t>Array Raw IOPS</t>
  </si>
  <si>
    <t>Backend IOPS (random):</t>
  </si>
  <si>
    <t>Number of Disks needed:</t>
  </si>
  <si>
    <t xml:space="preserve">total db </t>
  </si>
  <si>
    <t>size (MB)</t>
  </si>
  <si>
    <t>clin info h8</t>
  </si>
  <si>
    <t>clin info h10</t>
  </si>
  <si>
    <t>clin info h11</t>
  </si>
  <si>
    <t>clin info h18</t>
  </si>
  <si>
    <t>clin info h13</t>
  </si>
  <si>
    <t>clin info h15</t>
  </si>
  <si>
    <t>clin info h16</t>
  </si>
  <si>
    <t>clin info h17</t>
  </si>
  <si>
    <t>p4</t>
  </si>
  <si>
    <t>k5</t>
  </si>
  <si>
    <t>k6</t>
  </si>
  <si>
    <t>k11</t>
  </si>
  <si>
    <t>Audit index/Flag</t>
  </si>
  <si>
    <t>eRx data</t>
  </si>
  <si>
    <t>auditing data</t>
  </si>
  <si>
    <t>clin info O12</t>
  </si>
  <si>
    <t>image data</t>
  </si>
  <si>
    <t>pt photos</t>
  </si>
  <si>
    <t>existing pt data growth</t>
  </si>
  <si>
    <t>Database IOPS Daily</t>
  </si>
  <si>
    <t>Database IOPS Formulary Loads</t>
  </si>
  <si>
    <t>Transaction Logs IOPS Daily</t>
  </si>
  <si>
    <t>Transaction Logs IOPS Formulary Loads</t>
  </si>
  <si>
    <t>Temp DB IOPS Daily</t>
  </si>
  <si>
    <t>Temp DB IOPS Formulary Loads</t>
  </si>
  <si>
    <t>level for each DB file type:</t>
  </si>
  <si>
    <t xml:space="preserve">Disks Optimized for </t>
  </si>
  <si>
    <t>DB IOPS Performance</t>
  </si>
  <si>
    <t>Daily</t>
  </si>
  <si>
    <t>Formulary</t>
  </si>
  <si>
    <t>total</t>
  </si>
  <si>
    <t>All sizes in MB</t>
  </si>
  <si>
    <t>Disk type</t>
  </si>
  <si>
    <t>Raid level</t>
  </si>
  <si>
    <t>Amount of disk storage needed per vm in GB:</t>
  </si>
  <si>
    <t>Needed GB</t>
  </si>
  <si>
    <t>7.2K_SATA</t>
  </si>
  <si>
    <t>10K_SATA</t>
  </si>
  <si>
    <t>10K_SAS</t>
  </si>
  <si>
    <t>15K_SAS</t>
  </si>
  <si>
    <t>15K_FC</t>
  </si>
  <si>
    <t>Physician</t>
  </si>
  <si>
    <t>Medical Assistant</t>
  </si>
  <si>
    <t>Not Virtualized</t>
  </si>
  <si>
    <t>Billing Clerk</t>
  </si>
  <si>
    <t>Triage Nurse</t>
  </si>
  <si>
    <t>Medical Records Clerk</t>
  </si>
  <si>
    <t>Check In/Front Desk</t>
  </si>
  <si>
    <t>Appointment Scheduler/Front Desk</t>
  </si>
  <si>
    <t>Administrative Tasks</t>
  </si>
  <si>
    <t>User count</t>
  </si>
  <si>
    <t>/ type</t>
  </si>
  <si>
    <t>Receptionist / Checkout</t>
  </si>
  <si>
    <t>User type definitions: see comments for typical tasks</t>
  </si>
  <si>
    <t>Current</t>
  </si>
  <si>
    <t>Count</t>
  </si>
  <si>
    <t>15K rpm disks or better recommended for performance.</t>
  </si>
  <si>
    <t>Meets Daily IOPS reqs</t>
  </si>
  <si>
    <t>Meets FMY load IOPS reqs</t>
  </si>
  <si>
    <t>temp db</t>
  </si>
  <si>
    <t>transaction log space</t>
  </si>
  <si>
    <t>#Cores per CPU</t>
  </si>
  <si>
    <t>Base db size incl binaries, existing db</t>
  </si>
  <si>
    <t>Combined Database / Temp DB IOPS Daily (for &lt;126 concurrent users)</t>
  </si>
  <si>
    <t>Combined Database / Temp DB IOPS Formulary Loads (for &lt;126 concurrent users)</t>
  </si>
  <si>
    <t>Raid5 or 50</t>
  </si>
  <si>
    <t>See Note*</t>
  </si>
  <si>
    <t>DB backups:</t>
  </si>
  <si>
    <t>Clinic Network Bitrate calculators</t>
  </si>
  <si>
    <t>The below network bitrate calculators are provided to help customers estimate the amount of network traffic</t>
  </si>
  <si>
    <t>Depending on the amount of existing data in a patient's chart, the actual bitrates / burst rates observed within</t>
  </si>
  <si>
    <t>a customer environment will vary.</t>
  </si>
  <si>
    <t>Enter</t>
  </si>
  <si>
    <t>SATA</t>
  </si>
  <si>
    <t>SAS</t>
  </si>
  <si>
    <t>FC</t>
  </si>
  <si>
    <t>Required</t>
  </si>
  <si>
    <t>Estimated number of users who will be accessing the application through a Terminal Server.</t>
  </si>
  <si>
    <t># of Providers  who will be accessing the application through Citrix or Windows Terminal Server.</t>
  </si>
  <si>
    <t>Enter the estimated number of concurrent users using Citrix or Windows Terminal Server if different from the value above:</t>
  </si>
  <si>
    <t>average burst rate minus invoke</t>
  </si>
  <si>
    <t>average burst rate with invoke</t>
  </si>
  <si>
    <t>tasks measured.  Note that the per user bitrates and burst rates shown below were observed on a demo database.</t>
  </si>
  <si>
    <t>DB Server Virtualized?</t>
  </si>
  <si>
    <t>Citrix Server Virtualized?</t>
  </si>
  <si>
    <t xml:space="preserve">Single DB/App Server ? </t>
  </si>
  <si>
    <t>Virtual Citrix/TS server?</t>
  </si>
  <si>
    <t>Note 8:</t>
  </si>
  <si>
    <t>IOPS for eSSD is assumed to be 1800 per drive.  Many available models of enterprise-class eSSD drives have higher IOPS ratings.</t>
  </si>
  <si>
    <t>Note 9:</t>
  </si>
  <si>
    <t>DB backups storage requirements are included for storage planning purposes.</t>
  </si>
  <si>
    <t>idx</t>
  </si>
  <si>
    <t>Show Formulary Spec</t>
  </si>
  <si>
    <t>Fmy iops scale</t>
  </si>
  <si>
    <t>SQL Server Levels</t>
  </si>
  <si>
    <t>Combined DB / Application Server VM</t>
  </si>
  <si>
    <t>Data is calculated on 'Database Server Info' Tab</t>
  </si>
  <si>
    <t>&lt;--If data is unavailable then skip.</t>
  </si>
  <si>
    <t>Which VM hypervisor?</t>
  </si>
  <si>
    <t>Max vCPU</t>
  </si>
  <si>
    <t>VMWare ESXi</t>
  </si>
  <si>
    <t>MS 2008r2 Hyperv</t>
  </si>
  <si>
    <t>VMWare vSphere Std</t>
  </si>
  <si>
    <t>VMWare vSphere Ent</t>
  </si>
  <si>
    <t>VMWare vSphere Ent +</t>
  </si>
  <si>
    <t>Max</t>
  </si>
  <si>
    <t>vMem GB</t>
  </si>
  <si>
    <t>pMem GB</t>
  </si>
  <si>
    <t>#vCPUs allocated to all VMs per host:</t>
  </si>
  <si>
    <t>DB/App Server combined?</t>
  </si>
  <si>
    <t>Select Disk bus connection</t>
  </si>
  <si>
    <t>iSCSI</t>
  </si>
  <si>
    <t>Are you using Citrix/Terminal Svcs</t>
  </si>
  <si>
    <t>usr load</t>
  </si>
  <si>
    <t>#cpus</t>
  </si>
  <si>
    <t>num users</t>
  </si>
  <si>
    <t>ram GB</t>
  </si>
  <si>
    <t>vcpu multiplier</t>
  </si>
  <si>
    <t>cpu multiplier</t>
  </si>
  <si>
    <t>vcpu count</t>
  </si>
  <si>
    <t>Total Database Server Memory Required in Gigabytes:</t>
  </si>
  <si>
    <t>1,10,5,6</t>
  </si>
  <si>
    <t>1,10</t>
  </si>
  <si>
    <t>I/O Type</t>
  </si>
  <si>
    <t>Random</t>
  </si>
  <si>
    <t>Recommended</t>
  </si>
  <si>
    <t>Throughput</t>
  </si>
  <si>
    <t>Sequential</t>
  </si>
  <si>
    <t>Data Access Characteristics</t>
  </si>
  <si>
    <t>Required Raw</t>
  </si>
  <si>
    <t>Note 10:</t>
  </si>
  <si>
    <t>Database Storage</t>
  </si>
  <si>
    <t>Perf Pnlty</t>
  </si>
  <si>
    <t>Storage</t>
  </si>
  <si>
    <t>Will you be upgrading to CPS/PM only, CPS/EMR only, or combined:</t>
  </si>
  <si>
    <t>Virtualized Config Checklist-Row5C</t>
  </si>
  <si>
    <t>Virtualized Config Checklist-Row6C</t>
  </si>
  <si>
    <t>Virtualized Config Checklist-Row7C</t>
  </si>
  <si>
    <t>Gb / sec</t>
  </si>
  <si>
    <t>CPU Family</t>
  </si>
  <si>
    <t>CPU Model</t>
  </si>
  <si>
    <t>#cores</t>
  </si>
  <si>
    <t>Storage:</t>
  </si>
  <si>
    <t>Internal</t>
  </si>
  <si>
    <t>DAS</t>
  </si>
  <si>
    <t>SAN</t>
  </si>
  <si>
    <t>Controller:</t>
  </si>
  <si>
    <t>3G SAS</t>
  </si>
  <si>
    <t>6G SAS</t>
  </si>
  <si>
    <t>multi cpu ram factor - Add an addition 1 GB (1024 MB) RAM for every 10 vcpus</t>
  </si>
  <si>
    <t>4G FC</t>
  </si>
  <si>
    <t>8G FC</t>
  </si>
  <si>
    <r>
      <rPr>
        <sz val="11"/>
        <rFont val="Calibri"/>
        <family val="2"/>
      </rPr>
      <t>GB</t>
    </r>
    <r>
      <rPr>
        <sz val="11"/>
        <rFont val="Calibri"/>
        <family val="2"/>
      </rPr>
      <t xml:space="preserve">  </t>
    </r>
  </si>
  <si>
    <t>Select CPU Model range (or "Other" if not listed):</t>
  </si>
  <si>
    <t>thru-put/s (Gps)</t>
  </si>
  <si>
    <t>SATA r1</t>
  </si>
  <si>
    <t>SATA r2</t>
  </si>
  <si>
    <t>SATA r3</t>
  </si>
  <si>
    <t xml:space="preserve">Will the new server be used for software install and as a temporary staging area while the data base is being converted? </t>
  </si>
  <si>
    <t>1G iSCSI</t>
  </si>
  <si>
    <t>2G iSCSI</t>
  </si>
  <si>
    <t>3G iSCSI</t>
  </si>
  <si>
    <t>4G iSCSI</t>
  </si>
  <si>
    <t>10G iSCSI</t>
  </si>
  <si>
    <t>Select Storage type:&gt;</t>
  </si>
  <si>
    <t>Select Interface Controller type:&gt;</t>
  </si>
  <si>
    <t>concurrent user load</t>
  </si>
  <si>
    <t>&lt; Enter number of databases to be installed (default is 1).</t>
  </si>
  <si>
    <t>Number databases installed?</t>
  </si>
  <si>
    <t>64-bit DB Server VM Host Configuration - used to gauge hardware subscription on physical host</t>
  </si>
  <si>
    <t>64-bit App Server VM Host Configuration - used to gauge hardware subscription on physical host</t>
  </si>
  <si>
    <t>App Server sizing CPS11</t>
  </si>
  <si>
    <t>Wrapper.conf</t>
  </si>
  <si>
    <t>DefaultDS-ds.xml</t>
  </si>
  <si>
    <t>Server.xml (http / https)</t>
  </si>
  <si>
    <t>jboss-service.xml</t>
  </si>
  <si>
    <t>#users</t>
  </si>
  <si>
    <t>Heap Use-GB</t>
  </si>
  <si>
    <t>Permgen-MB</t>
  </si>
  <si>
    <t>Min Heap</t>
  </si>
  <si>
    <t>Max Heap</t>
  </si>
  <si>
    <t>Max PermSize</t>
  </si>
  <si>
    <t>Reserved Code Cache Size</t>
  </si>
  <si>
    <t>wrapper ping timeout</t>
  </si>
  <si>
    <t>min pool size</t>
  </si>
  <si>
    <t>max pool size</t>
  </si>
  <si>
    <t>blocking timeout ms</t>
  </si>
  <si>
    <t>Max Threads</t>
  </si>
  <si>
    <t>Connection Timeout ms</t>
  </si>
  <si>
    <t>Accept Count</t>
  </si>
  <si>
    <t>Maximum pool size</t>
  </si>
  <si>
    <t>75% ram</t>
  </si>
  <si>
    <t>n/a</t>
  </si>
  <si>
    <t>5120M</t>
  </si>
  <si>
    <t>512M</t>
  </si>
  <si>
    <t>4096M</t>
  </si>
  <si>
    <t>40960M</t>
  </si>
  <si>
    <t>Heap usage increases /user MB:</t>
  </si>
  <si>
    <t>for 2000 users</t>
  </si>
  <si>
    <t>Heap usage / website deployment increases MB:</t>
  </si>
  <si>
    <t>Version</t>
  </si>
  <si>
    <t>CPUs</t>
  </si>
  <si>
    <t>CPU GHz</t>
  </si>
  <si>
    <t>RAM GB</t>
  </si>
  <si>
    <t>JBoss [EAP] 5.1.0</t>
  </si>
  <si>
    <t>6 processor 2.27 GHz Intel Xeon X7560</t>
  </si>
  <si>
    <t>HP Proliant DL380 G6</t>
  </si>
  <si>
    <t>2x Quad Core Intel® Xeon® processor X5550 (8MB L3 cache, 95W, DDR3-1333 RDIMMs, HT, Turbo 2/2/3/3)</t>
  </si>
  <si>
    <t>6x146GB 10K SAS, 6x300GB 10K SAS</t>
  </si>
  <si>
    <t>WinSvr2003R2 SP2 32/64</t>
  </si>
  <si>
    <t>Number of demo db websites loaded</t>
  </si>
  <si>
    <t>available bytes</t>
  </si>
  <si>
    <t>Avail MB</t>
  </si>
  <si>
    <t>Avail GB</t>
  </si>
  <si>
    <t>RAM used MB</t>
  </si>
  <si>
    <t>RAM Delta MB</t>
  </si>
  <si>
    <t>RAM Delta GB</t>
  </si>
  <si>
    <t>baseline</t>
  </si>
  <si>
    <t>RESOURCE UTILIZATION BY JBOSS</t>
  </si>
  <si>
    <t>Total App Server resources</t>
  </si>
  <si>
    <t>1 web</t>
  </si>
  <si>
    <t>43GB</t>
  </si>
  <si>
    <t>56GB</t>
  </si>
  <si>
    <t>2 web</t>
  </si>
  <si>
    <t>6 proc x7560</t>
  </si>
  <si>
    <t>3 web</t>
  </si>
  <si>
    <t>3 Hour(Takes around 3 minute to deploy one websites * 60)</t>
  </si>
  <si>
    <t>4 web</t>
  </si>
  <si>
    <t>30 seconds</t>
  </si>
  <si>
    <t>5 web</t>
  </si>
  <si>
    <t>10 web</t>
  </si>
  <si>
    <t>Number of websites deployed</t>
  </si>
  <si>
    <t>Machine Name</t>
  </si>
  <si>
    <t>Server Machine</t>
  </si>
  <si>
    <t>RESOURCE NAME</t>
  </si>
  <si>
    <t>Physical Memory usage (RAM)</t>
  </si>
  <si>
    <t>Processor Usage (CPU %)</t>
  </si>
  <si>
    <t>Server start time</t>
  </si>
  <si>
    <t>Server stop time</t>
  </si>
  <si>
    <t>Permgen increase per user/per website in MB:</t>
  </si>
  <si>
    <t xml:space="preserve"> per user</t>
  </si>
  <si>
    <t>per wsite</t>
  </si>
  <si>
    <t>delta heap use MB per wsite per user</t>
  </si>
  <si>
    <t>delta pergen MB per website per user</t>
  </si>
  <si>
    <t>per website delta</t>
  </si>
  <si>
    <t>Total number of concurrent users supported on Application server</t>
  </si>
  <si>
    <t>clin info tab</t>
  </si>
  <si>
    <t>user override</t>
  </si>
  <si>
    <t>db info tab</t>
  </si>
  <si>
    <t>Total number of websites supported on Application server</t>
  </si>
  <si>
    <t>minheap</t>
  </si>
  <si>
    <t>maxheap</t>
  </si>
  <si>
    <t>maxpermsize</t>
  </si>
  <si>
    <t>wrapper.conf</t>
  </si>
  <si>
    <t>X7560 is an 8-core cpu at 2.27 GHz</t>
  </si>
  <si>
    <t>x7460 is 6-core cpu 2.66GHz</t>
  </si>
  <si>
    <t>Will the database server be virtualized (Note: this also assumes the same answer for the application server) ?:</t>
  </si>
  <si>
    <t>JBoss Configuration Settings - hover cursor over cells with red triangle in upper right corners to see notes.</t>
  </si>
  <si>
    <t>reserved code cache size</t>
  </si>
  <si>
    <t>Interface</t>
  </si>
  <si>
    <t>I/O Avg Size (bytes)</t>
  </si>
  <si>
    <t>Tot TP Gb/s</t>
  </si>
  <si>
    <t>Total HDDs:&gt;</t>
  </si>
  <si>
    <t>Disk Type</t>
  </si>
  <si>
    <t>Select Disk Type and Raid</t>
  </si>
  <si>
    <t>Optimized for DB IOPS</t>
  </si>
  <si>
    <t>Performance</t>
  </si>
  <si>
    <t>Disk Count</t>
  </si>
  <si>
    <t>RAID DB File</t>
  </si>
  <si>
    <t>&lt;:Concurrent users per VM</t>
  </si>
  <si>
    <t>&lt;:Physical RAM per host in GB</t>
  </si>
  <si>
    <t>&lt;:Total number of hosts</t>
  </si>
  <si>
    <t>&lt;:Citrix/WTS VM configs</t>
  </si>
  <si>
    <t>Total count of users who will be accessing the application through a Terminal Server (Citrix or WTS)</t>
  </si>
  <si>
    <r>
      <rPr>
        <b/>
        <sz val="11"/>
        <color theme="1"/>
        <rFont val="Calibri"/>
        <family val="2"/>
        <scheme val="minor"/>
      </rPr>
      <t>Percent</t>
    </r>
    <r>
      <rPr>
        <sz val="11"/>
        <color theme="1"/>
        <rFont val="Calibri"/>
        <family val="2"/>
        <scheme val="minor"/>
      </rPr>
      <t xml:space="preserve"> of patient visits that will generate a scanned document image attachment:</t>
    </r>
  </si>
  <si>
    <r>
      <rPr>
        <b/>
        <sz val="11"/>
        <color theme="1"/>
        <rFont val="Calibri"/>
        <family val="2"/>
        <scheme val="minor"/>
      </rPr>
      <t>Percent</t>
    </r>
    <r>
      <rPr>
        <sz val="11"/>
        <color theme="1"/>
        <rFont val="Calibri"/>
        <family val="2"/>
        <scheme val="minor"/>
      </rPr>
      <t xml:space="preserve"> of images that are camera images such as dermatology conditions, rashes, etc. (2MB maximum size per image):</t>
    </r>
  </si>
  <si>
    <r>
      <rPr>
        <b/>
        <sz val="11"/>
        <color theme="1"/>
        <rFont val="Calibri"/>
        <family val="2"/>
        <scheme val="minor"/>
      </rPr>
      <t>Percent</t>
    </r>
    <r>
      <rPr>
        <sz val="11"/>
        <color theme="1"/>
        <rFont val="Calibri"/>
        <family val="2"/>
        <scheme val="minor"/>
      </rPr>
      <t xml:space="preserve"> of images that are clinical library sketches or  scanned images such as insurance cards, driver licenses, ID's (50KB average size per image):</t>
    </r>
  </si>
  <si>
    <r>
      <t xml:space="preserve">Enter the approximate </t>
    </r>
    <r>
      <rPr>
        <b/>
        <sz val="11"/>
        <rFont val="Calibri"/>
        <family val="2"/>
        <scheme val="minor"/>
      </rPr>
      <t>number</t>
    </r>
    <r>
      <rPr>
        <sz val="11"/>
        <rFont val="Calibri"/>
        <family val="2"/>
        <scheme val="minor"/>
      </rPr>
      <t xml:space="preserve"> (not percentage) of patients with digital photo attached to their Medical Record:</t>
    </r>
  </si>
  <si>
    <t>db/app</t>
  </si>
  <si>
    <t>citrix</t>
  </si>
  <si>
    <t>max</t>
  </si>
  <si>
    <t>E3-1230</t>
  </si>
  <si>
    <t>E3-1290</t>
  </si>
  <si>
    <t>E5-2420</t>
  </si>
  <si>
    <t>E5-4650</t>
  </si>
  <si>
    <t>E7-2850</t>
  </si>
  <si>
    <t>E7-8870</t>
  </si>
  <si>
    <t>CPU Model number (i.e. 5640 or E5-2420)</t>
  </si>
  <si>
    <t>E3</t>
  </si>
  <si>
    <t>E5</t>
  </si>
  <si>
    <t>E7</t>
  </si>
  <si>
    <t>root</t>
  </si>
  <si>
    <t>Hyperthread enabled?</t>
  </si>
  <si>
    <t>Select one:</t>
  </si>
  <si>
    <t>App Server Virtualized?</t>
  </si>
  <si>
    <t>Physical or VM for DB server?</t>
  </si>
  <si>
    <t>Physical or VM for App server?</t>
  </si>
  <si>
    <t>Virtualized?</t>
  </si>
  <si>
    <t>Base factors</t>
  </si>
  <si>
    <t>&lt;:Citrix/WTS/general VMs per host (configurable)</t>
  </si>
  <si>
    <t>vRAM oversubscribed?</t>
  </si>
  <si>
    <t>vCPU oversubscribed?</t>
  </si>
  <si>
    <t>Citrix VM oversubscribed?</t>
  </si>
  <si>
    <t>Win Svr 2012</t>
  </si>
  <si>
    <t>Auditing Level</t>
  </si>
  <si>
    <t>Citrix users / core scaling</t>
  </si>
  <si>
    <t>user ram</t>
  </si>
  <si>
    <t>AV?</t>
  </si>
  <si>
    <t>A/V?</t>
  </si>
  <si>
    <t xml:space="preserve">     &lt; AV real time scanning enabled?</t>
  </si>
  <si>
    <t xml:space="preserve">SAN Head </t>
  </si>
  <si>
    <t>Reduction Factor</t>
  </si>
  <si>
    <t>EMC</t>
  </si>
  <si>
    <t>NetApp</t>
  </si>
  <si>
    <t>Smart Flash Controller</t>
  </si>
  <si>
    <t>No Caching Controller</t>
  </si>
  <si>
    <t>Select SAN Manufacturer:&gt;</t>
  </si>
  <si>
    <t>Spindle count reduction factor:</t>
  </si>
  <si>
    <t>This is an estimated spindle count to accommodate the projected IOPS load.  Please work with your storage vendor to validate that your storage system configuration will handle the IOPS load.</t>
  </si>
  <si>
    <t>Recommended Processor configuration: NOTE - Virtual Processors (2 processor cores x hyper-threading = 4 vCPUs) = Logical Processors</t>
  </si>
  <si>
    <t>Virtual/Logical Processors</t>
  </si>
  <si>
    <t>Max_user_load</t>
  </si>
  <si>
    <t>jboss cpu scale factor</t>
  </si>
  <si>
    <t>non-scaled</t>
  </si>
  <si>
    <t>jboss ram scale factor</t>
  </si>
  <si>
    <t>Ues Scale Factors?</t>
  </si>
  <si>
    <t>db cpu scale factor =</t>
  </si>
  <si>
    <t>jboss cpu scale factor =</t>
  </si>
  <si>
    <t xml:space="preserve">db RAM scale factor = </t>
  </si>
  <si>
    <t>jboss RAM scale factor=</t>
  </si>
  <si>
    <t>bitrate scale factor=</t>
  </si>
  <si>
    <t>burstrate scale factor=</t>
  </si>
  <si>
    <t>db server scale factor</t>
  </si>
  <si>
    <t>Modified counts checking for odd counts for raid10</t>
  </si>
  <si>
    <t>Database Server Information
Use this section to estimate memory, disk space and I/O throughput requirements for the SQL Database Server - Make sure 'Clinical Info' Tab is filled out first!</t>
  </si>
  <si>
    <t>max RAM GB</t>
  </si>
  <si>
    <t>Enter exact CPU model (include make if not Intel):</t>
  </si>
  <si>
    <t>concurrent user sizing</t>
  </si>
  <si>
    <t>15 core E7 v2 Series</t>
  </si>
  <si>
    <t>See Virtualized Config Checklist tab cell B30</t>
  </si>
  <si>
    <t>See Virtualized Config Checklist tab cell B31</t>
  </si>
  <si>
    <t>See Virtualized Config Checklist tab cell B32</t>
  </si>
  <si>
    <t>DB VM Host CPUs Oversubscribed?</t>
  </si>
  <si>
    <t>DB VM Host RAM Oversubscribed?</t>
  </si>
  <si>
    <t>App/JBoss VM Host CPUs Oversubscribed?</t>
  </si>
  <si>
    <t>App/JBoss VM Host RAM Oversubscribed?</t>
  </si>
  <si>
    <t>See Virtualized Config Checklist tab cell B39</t>
  </si>
  <si>
    <t>See Virtualized Config Checklist tab cell B40</t>
  </si>
  <si>
    <t xml:space="preserve">DB VM Host Processor Model </t>
  </si>
  <si>
    <t>See Virtualized Config Checklist tab cell I29</t>
  </si>
  <si>
    <t xml:space="preserve">App/JBoss VM Host Processor Model </t>
  </si>
  <si>
    <t>See Virtualized Config Checklist tab cell I38</t>
  </si>
  <si>
    <t>Citrix or Terminal Servers Info-Row20</t>
  </si>
  <si>
    <t>Citrix or Terminal Servers Info-Row21F</t>
  </si>
  <si>
    <t>Citrix or Terminal Servers Info-Row21H</t>
  </si>
  <si>
    <t>Notes:</t>
  </si>
  <si>
    <t>Link to Intel Processors</t>
  </si>
  <si>
    <t>Link to AMD Processors</t>
  </si>
  <si>
    <t>2. AMD processors do not support hyper-threading.</t>
  </si>
  <si>
    <t>Link to CPU performance benchmarks</t>
  </si>
  <si>
    <t>1. To verify a CPU's hyper-threading (HT) capability, a) note the exact model number listed above and b) use the link for the processor make (located to the right) to look up processor details, making note of the number of cores and threads supported.  If #cores = #threads, HT is not supported.  If #threads = 2x #cores, HT is supported.  Determining if HT is enabled must be done at the host level, a) either by going into the BIOS on system boot up and checking the setting or b) counting the number of logical processors within the host OS.</t>
  </si>
  <si>
    <t>Number of Populated CPU Sockets</t>
  </si>
  <si>
    <t xml:space="preserve">&lt;--If data is unavailable then skip. </t>
  </si>
  <si>
    <t>3. Intel Xeon E7-8837 CPU does not support hyper-threading.</t>
  </si>
  <si>
    <t>Jboss horizontal scaling?</t>
  </si>
  <si>
    <t>MS 2012 Hyperv</t>
  </si>
  <si>
    <t>Split Jboss App Server into separate UI / Interop servers?</t>
  </si>
  <si>
    <t>Split Jboss?</t>
  </si>
  <si>
    <t>Old jboss calcs</t>
  </si>
  <si>
    <t>Curr Jboss</t>
  </si>
  <si>
    <t xml:space="preserve">Jboss / Interop App Server </t>
  </si>
  <si>
    <t>Client Workstation</t>
  </si>
  <si>
    <t>IE version</t>
  </si>
  <si>
    <t>Diskspace</t>
  </si>
  <si>
    <t>Need to mod vcpu / cpu counts - key users / cpu to physical, not logical.  So 2 CPUs = 4 vCPUs, etc.</t>
  </si>
  <si>
    <t>Add HT enabled? Selection on row 5 conditional on VM enabled.</t>
  </si>
  <si>
    <t>Number of physical cores per CPU in host (not threads):</t>
  </si>
  <si>
    <t># cores per cpu</t>
  </si>
  <si>
    <t>CEMR</t>
  </si>
  <si>
    <t>EMR 5.6</t>
  </si>
  <si>
    <t>EMR 6.1</t>
  </si>
  <si>
    <t>EMR 9.5</t>
  </si>
  <si>
    <t>EMR 9.8</t>
  </si>
  <si>
    <t>New Install(v9.10)</t>
  </si>
  <si>
    <t>Clinical Quality Reporting</t>
  </si>
  <si>
    <t>Faxing (Biscom - Faxcom CV)*</t>
  </si>
  <si>
    <t>20 GB</t>
  </si>
  <si>
    <t>4 +</t>
  </si>
  <si>
    <t>25 MB</t>
  </si>
  <si>
    <r>
      <t xml:space="preserve">#vCPUs allocated to </t>
    </r>
    <r>
      <rPr>
        <b/>
        <u/>
        <sz val="10"/>
        <rFont val="Arial"/>
        <family val="2"/>
      </rPr>
      <t>ALL</t>
    </r>
    <r>
      <rPr>
        <sz val="10"/>
        <rFont val="Arial"/>
        <family val="2"/>
      </rPr>
      <t xml:space="preserve"> VMs per host:</t>
    </r>
  </si>
  <si>
    <r>
      <t xml:space="preserve">vRAM in GB allocated to </t>
    </r>
    <r>
      <rPr>
        <b/>
        <u/>
        <sz val="10"/>
        <rFont val="Arial"/>
        <family val="2"/>
      </rPr>
      <t>ALL</t>
    </r>
    <r>
      <rPr>
        <sz val="10"/>
        <rFont val="Arial"/>
        <family val="2"/>
      </rPr>
      <t xml:space="preserve"> VMs per host:</t>
    </r>
  </si>
  <si>
    <t>Configuration Checklist - Workstations / 3rd Party Configurations</t>
  </si>
  <si>
    <t>PM Only?</t>
  </si>
  <si>
    <t>Win Svr 2012 R2</t>
  </si>
  <si>
    <t>16 core E7 v3 Series</t>
  </si>
  <si>
    <t>18 core E7 v3 Series</t>
  </si>
  <si>
    <t>14 core E7 v3 Series</t>
  </si>
  <si>
    <t>8 core E7 v1-3 Series</t>
  </si>
  <si>
    <t>10 core E7 v1-3 Series</t>
  </si>
  <si>
    <t>12 core E7 v2-3 Series</t>
  </si>
  <si>
    <t>14 core E5 v3 Series</t>
  </si>
  <si>
    <t>12 core E5 v2-3 Series</t>
  </si>
  <si>
    <t>10 core E5 v2-3 Series</t>
  </si>
  <si>
    <t>8 core E5 v1-3 Series</t>
  </si>
  <si>
    <t>6 core E7 v1-2 Series</t>
  </si>
  <si>
    <t>6 core E5 v1-3 Series</t>
  </si>
  <si>
    <t xml:space="preserve">#Cores per CPU : CPU Model ranges  </t>
  </si>
  <si>
    <t>4   : E5-1620, E5-4603</t>
  </si>
  <si>
    <t>6   : E5-2420-&gt;E5-2440</t>
  </si>
  <si>
    <t>6   : E7-4809v2,E7-8893v2</t>
  </si>
  <si>
    <t>8   : E5-2450-&gt;E5-4650</t>
  </si>
  <si>
    <t>8   : E7-4820v2</t>
  </si>
  <si>
    <t>10  : E7-2850-&gt;E7-8870</t>
  </si>
  <si>
    <t>10  : E7-4830v2, E7-8891v2</t>
  </si>
  <si>
    <t>12  : E5-2695v2-&gt;E5-2697v2</t>
  </si>
  <si>
    <t>12  : E7-2850v2,E7-4850/60v2,E7-8850/57v2</t>
  </si>
  <si>
    <t>15  : E7-x870v2-&gt;E7-x890v2, x=2,4,8</t>
  </si>
  <si>
    <t>Virtual / Physical config checklists, Citrix or Terminal Server Info</t>
  </si>
  <si>
    <t>Citrix or Terminal Servers Info</t>
  </si>
  <si>
    <t>4 core E5 v1-3 Series</t>
  </si>
  <si>
    <t>4 core E7 v3 Series</t>
  </si>
  <si>
    <t>EMR 9.2</t>
  </si>
  <si>
    <t>1 - 125 Users</t>
  </si>
  <si>
    <t>126 - 250 Users</t>
  </si>
  <si>
    <t>A/R Accelerator:</t>
  </si>
  <si>
    <t>SW  Version</t>
  </si>
  <si>
    <t>OS Version</t>
  </si>
  <si>
    <t>ram (GB)</t>
  </si>
  <si>
    <t>Surescripts Enterprise Services (formerly Kryptiq) components**</t>
  </si>
  <si>
    <t>Jboss Server configs (upto x number concurrent users)</t>
  </si>
  <si>
    <t>Total Disk Storage (GB)</t>
  </si>
  <si>
    <t>PM-Only?</t>
  </si>
  <si>
    <t xml:space="preserve">4   : E3-1230-&gt;E3-1290, v1-v4 </t>
  </si>
  <si>
    <t>14  : E5-2683/2695/2697/4660v3, E7-4850v3</t>
  </si>
  <si>
    <t>16  : E5-2698/4667v3, E7-8860/8867v3</t>
  </si>
  <si>
    <t>18  : E5-2699/4669v3, E7-8870-&gt;8890v3</t>
  </si>
  <si>
    <t>For notes - copy/paste to notepad 1st before copying into comments</t>
  </si>
  <si>
    <t>Virturalized/Physical Config Checklist</t>
  </si>
  <si>
    <t>4 core E3 v1-4 Series</t>
  </si>
  <si>
    <t>upto user load</t>
  </si>
  <si>
    <t>Medical Practioners:</t>
  </si>
  <si>
    <t>Concurrent Users:</t>
  </si>
  <si>
    <t>These recommendations are for the specified loads of: (from 'Clinical Info' tab)</t>
  </si>
  <si>
    <t>250 GB</t>
  </si>
  <si>
    <r>
      <t>The workbook includes eight worksheets (including this Overview sheet):</t>
    </r>
    <r>
      <rPr>
        <b/>
        <sz val="12"/>
        <color indexed="30"/>
        <rFont val="Calibri"/>
        <family val="2"/>
      </rPr>
      <t xml:space="preserve"> </t>
    </r>
    <r>
      <rPr>
        <b/>
        <sz val="14"/>
        <color indexed="30"/>
        <rFont val="Calibri"/>
        <family val="2"/>
      </rPr>
      <t>Please make sure to complete all blue cells.</t>
    </r>
  </si>
  <si>
    <t>cpu</t>
  </si>
  <si>
    <t>ram</t>
  </si>
  <si>
    <t>multitenant websites</t>
  </si>
  <si>
    <t>Storage RAID level</t>
  </si>
  <si>
    <t>Storage interface</t>
  </si>
  <si>
    <t>Hypervisor flavor</t>
  </si>
  <si>
    <t>MS 2012r2 Hyperv</t>
  </si>
  <si>
    <t>Spindle RPM Speed</t>
  </si>
  <si>
    <t>Storage Spindle type</t>
  </si>
  <si>
    <t>Server OS</t>
  </si>
  <si>
    <t>multitenant</t>
  </si>
  <si>
    <t>sizing dropdown</t>
  </si>
  <si>
    <t>selection</t>
  </si>
  <si>
    <t>DB Server Config</t>
  </si>
  <si>
    <t>CPU</t>
  </si>
  <si>
    <t>Ram</t>
  </si>
  <si>
    <t>multitenant sizing PM-only : Jboss svr config</t>
  </si>
  <si>
    <t>multitenant sizing w/ EMR: Jboss server config</t>
  </si>
  <si>
    <t>Note 11:</t>
  </si>
  <si>
    <t>For best performance, maintain at minimum 20% free drive space on your database storage volumes.</t>
  </si>
  <si>
    <t>VMware ESX or ESXi with vSphere 4.x or later</t>
  </si>
  <si>
    <t>250 GB (thin provisioning allowed)</t>
  </si>
  <si>
    <t>old_max_user_load</t>
  </si>
  <si>
    <t>SQL Svr 2012 sp2</t>
  </si>
  <si>
    <t>SQL Svr 2008 R2 sp3</t>
  </si>
  <si>
    <t>SQL Svr 2014 sp1</t>
  </si>
  <si>
    <t>Win Svr 2008 R2</t>
  </si>
  <si>
    <t>SQL DB Version:</t>
  </si>
  <si>
    <t>What is your current version of CEMR:</t>
  </si>
  <si>
    <t>EMR 9.6</t>
  </si>
  <si>
    <t>Confirm ID for EPCS</t>
  </si>
  <si>
    <t>(Provided as a self-contained Linux .OVF)</t>
  </si>
  <si>
    <t>(Provided as a self-contained Linux .VHD)</t>
  </si>
  <si>
    <t>Valid Operating System</t>
  </si>
  <si>
    <t>Number of concurrent users per VM</t>
  </si>
  <si>
    <t>&lt;:Number of physical CPU sockets populated per host</t>
  </si>
  <si>
    <t>&lt;:Enter only number of physical cores per CPU/socket in host</t>
  </si>
  <si>
    <t xml:space="preserve">     Select CPU model range - If not listed, select "Other"</t>
  </si>
  <si>
    <t>Enter exact CPU model (include make if not Intel)</t>
  </si>
  <si>
    <t xml:space="preserve">eSM </t>
  </si>
  <si>
    <t>Allocated Users per Citrix server</t>
  </si>
  <si>
    <t>Number Cores /VCPUs</t>
  </si>
  <si>
    <t>Required Spindle Count</t>
  </si>
  <si>
    <t>Recommended hardware for specified Citrix Concurrent Users:</t>
  </si>
  <si>
    <t>Storage Recommendations to Store Patient Education Information</t>
  </si>
  <si>
    <t>Storage recommended for first year in GB</t>
  </si>
  <si>
    <t>Storage recommended for 7 years with 20 % patient volume growth every year in GB</t>
  </si>
  <si>
    <t>2nd year</t>
  </si>
  <si>
    <t>1st year</t>
  </si>
  <si>
    <t>4th year</t>
  </si>
  <si>
    <t>6th year</t>
  </si>
  <si>
    <t>7th year</t>
  </si>
  <si>
    <t>Jboss- Load Balancer Server</t>
  </si>
  <si>
    <t>Load Balancer Spec</t>
  </si>
  <si>
    <r>
      <rPr>
        <b/>
        <sz val="11"/>
        <color indexed="8"/>
        <rFont val="Arial"/>
        <family val="2"/>
      </rPr>
      <t xml:space="preserve">Patient Education Checklist: </t>
    </r>
    <r>
      <rPr>
        <sz val="10"/>
        <color indexed="8"/>
        <rFont val="Arial"/>
        <family val="2"/>
      </rPr>
      <t>This tab will help you determine the amount of storage that is needed to Store Patient Education information. Please seek help from your IT staff or IT Services provider to create storage</t>
    </r>
  </si>
  <si>
    <t>SQL server Version</t>
  </si>
  <si>
    <t>Windows Server 2008 R2 or above</t>
  </si>
  <si>
    <r>
      <t xml:space="preserve">Note: </t>
    </r>
    <r>
      <rPr>
        <b/>
        <sz val="11"/>
        <color rgb="FFFF0000"/>
        <rFont val="Calibri"/>
        <family val="2"/>
        <scheme val="minor"/>
      </rPr>
      <t>Recommended storage should not be on DB and JBoss servers</t>
    </r>
    <r>
      <rPr>
        <b/>
        <sz val="11"/>
        <color theme="1"/>
        <rFont val="Calibri"/>
        <family val="2"/>
        <scheme val="minor"/>
      </rPr>
      <t>. Patient Education PDF's can be stored on any external storage.</t>
    </r>
  </si>
  <si>
    <r>
      <rPr>
        <b/>
        <sz val="11"/>
        <color rgb="FFFF0000"/>
        <rFont val="Calibri"/>
        <family val="2"/>
        <scheme val="minor"/>
      </rPr>
      <t>DATA ENTRY IS REQUIRED</t>
    </r>
    <r>
      <rPr>
        <b/>
        <sz val="11"/>
        <color theme="1"/>
        <rFont val="Calibri"/>
        <family val="2"/>
        <scheme val="minor"/>
      </rPr>
      <t>-</t>
    </r>
    <r>
      <rPr>
        <sz val="11"/>
        <color theme="1"/>
        <rFont val="Calibri"/>
        <family val="2"/>
        <scheme val="minor"/>
      </rPr>
      <t xml:space="preserve"> Total estimated visits per year</t>
    </r>
  </si>
  <si>
    <t>Percentage of Visits prescribing to Patient Education during first year</t>
  </si>
  <si>
    <t>3rd yer</t>
  </si>
  <si>
    <t>5th</t>
  </si>
  <si>
    <t>min-pool-size</t>
  </si>
  <si>
    <t xml:space="preserve">max-pool-size </t>
  </si>
  <si>
    <t>datasource: pool-name=&lt;website_name&gt;</t>
  </si>
  <si>
    <t>JBoss transaction timeout in seconds</t>
  </si>
  <si>
    <t>Auto configured by JBoss</t>
  </si>
  <si>
    <t>Threads/Transactions</t>
  </si>
  <si>
    <t>Please include Physicians, Nurses, Practioners, PA's, etc.</t>
  </si>
  <si>
    <t>Hard disk</t>
  </si>
  <si>
    <t>The number of hard disks/spindles specified above refer to the total number of disks in the raid set. Your effective storage space will vary depending on RAID level.</t>
  </si>
  <si>
    <t>FC = Fiber Channel, eSSD = enterprise class Solid State Drive.</t>
  </si>
  <si>
    <t>Misc. (Tutorial+Maint+Temp)*</t>
  </si>
  <si>
    <t>Storage interface throughput limits per channel: iSCSI - 1Gb(100MB), 2Gb(200MB), 3Gb(300MB), 4Gb(400MB) or 10Gb (1GB); Fiber Channel - 4Gb (400MB) or 8Gb (800MB); SAS - 3Gb (300MB) or 6Gb (600MB).</t>
  </si>
  <si>
    <t>Disk bus connection: ie FC, iSCSI, SAS, NAS, etc.</t>
  </si>
  <si>
    <t>Hyper-threading enabled?</t>
  </si>
  <si>
    <t>Enter the Windows Server Version for all Servers/VM's (Standard Or Enterprise Or Datacenter)</t>
  </si>
  <si>
    <t>Win Svr 2008 R2 SP1 64 bit
Win Svr 2012 R2 64 bit
Win Svr 2012 64 bit</t>
  </si>
  <si>
    <t>Server OS 
(Standard Or Enterprise Or Data Center)</t>
  </si>
  <si>
    <t>Please Choose your Operating System to be used on your Citrix/TS VM's / Servers(Standard Or Datacenter)</t>
  </si>
  <si>
    <t>Windows Server 2012 R2 64 bit</t>
  </si>
  <si>
    <t>Windows Server 2008 R2 64 bit</t>
  </si>
  <si>
    <t>Windows Server 2012 64 bit</t>
  </si>
  <si>
    <t>*** Varies based on Scanned Docs and Images (30,000 scanned pages (8.5 x 11 inches, black and white, 150 dpi) require approximately 1 GB of hard drive space. Grayscale and color scanning require 4‐10 times that amount). 300 GB Minimum.</t>
  </si>
  <si>
    <t># vCPUs per Citrix Server</t>
  </si>
  <si>
    <t>RAM (GB) per Citrix Server</t>
  </si>
  <si>
    <t>Disk Storage (GB) per Citrix Server</t>
  </si>
  <si>
    <t>500 GB</t>
  </si>
  <si>
    <t>1 TB</t>
  </si>
  <si>
    <t>1.5 TB</t>
  </si>
  <si>
    <t xml:space="preserve">Supports SQL Server 2008 R2 SP3 or above </t>
  </si>
  <si>
    <t>Audit data is collected and logs patient user access such as changes to records, views of records and is viewed by Crystal Reports.
Full auditing requires more available disk space.</t>
  </si>
  <si>
    <t>Abhijit New Formaula for Calculation of DB RAM and CPU</t>
  </si>
  <si>
    <t>Num of Concurrent users</t>
  </si>
  <si>
    <t>CPU round off</t>
  </si>
  <si>
    <t>CPU calc</t>
  </si>
  <si>
    <t>Total CPU</t>
  </si>
  <si>
    <t>Basic Ram Req</t>
  </si>
  <si>
    <t>1 GB Ram every 12 users</t>
  </si>
  <si>
    <t>Total RAM in GB</t>
  </si>
  <si>
    <t>RAM Calculation</t>
  </si>
  <si>
    <t>Windows Server 2016 64 bit</t>
  </si>
  <si>
    <t>U19</t>
  </si>
  <si>
    <t>Old RAM value</t>
  </si>
  <si>
    <t>New RAM Value</t>
  </si>
  <si>
    <t># of users per VM</t>
  </si>
  <si>
    <t xml:space="preserve">Old Value for Calculating total number of VM's </t>
  </si>
  <si>
    <t>New Value to calculate total number of VM's</t>
  </si>
  <si>
    <t>CPU and RAM cal for New V18 hardware</t>
  </si>
  <si>
    <t># of concurrent users</t>
  </si>
  <si>
    <t>CPU cal</t>
  </si>
  <si>
    <t>RAM Cal</t>
  </si>
  <si>
    <t># of GUI servers needed</t>
  </si>
  <si>
    <t xml:space="preserve">Interop </t>
  </si>
  <si>
    <t>RAM</t>
  </si>
  <si>
    <t>The hardware calculator will attempt to predict the size of your Database in "x" years (where x is the value entered in this field)</t>
  </si>
  <si>
    <t>This is the amount of time, in minutes, you want the formulary(s) to load in (1000 is the default)  This is a monthly batch job to update insurance reimbursement amounts for medications that should run during non-business hours. If your business needs a smaller window during which this job can run, more disk drives with high performance will be required. If you are not sure about the value, please leave the 1000 minutes in this cell</t>
  </si>
  <si>
    <t>MIK( Recommended to install on Data Base Server)</t>
  </si>
  <si>
    <t>Qvera Interface Engine (QIE)</t>
  </si>
  <si>
    <t>(QIE)  &lt; 50 CCDA per day or &lt; 5000 messages per day. (Run on DES Server)</t>
  </si>
  <si>
    <t>Data Exchange Server (DES)</t>
  </si>
  <si>
    <t>Data Transfer Station (DTS)</t>
  </si>
  <si>
    <t xml:space="preserve">(QIE)   50-500 CCDA  per day or 5,000 to 50,000 messages per day. </t>
  </si>
  <si>
    <t>2-4</t>
  </si>
  <si>
    <t>4-8</t>
  </si>
  <si>
    <t>10 GB</t>
  </si>
  <si>
    <t xml:space="preserve">(QIE)   501-5,000 CCDA  per day or 50,001 to 500,000 messages per day. </t>
  </si>
  <si>
    <t xml:space="preserve">(QIE)   &gt; 5,001 CCDA  per day or &gt; 500,001 messages per day. </t>
  </si>
  <si>
    <t>6-12</t>
  </si>
  <si>
    <t>10-16</t>
  </si>
  <si>
    <t>50 GB</t>
  </si>
  <si>
    <t>Scan data</t>
  </si>
  <si>
    <t>Load Balancer</t>
  </si>
  <si>
    <t xml:space="preserve">CPU </t>
  </si>
  <si>
    <t>Ram GB</t>
  </si>
  <si>
    <r>
      <rPr>
        <b/>
        <i/>
        <sz val="12"/>
        <color theme="1"/>
        <rFont val="Calibri"/>
        <family val="2"/>
        <scheme val="minor"/>
      </rPr>
      <t>What does the below information and the sections mean:</t>
    </r>
    <r>
      <rPr>
        <b/>
        <i/>
        <sz val="10"/>
        <color theme="1"/>
        <rFont val="Calibri"/>
        <family val="2"/>
        <scheme val="minor"/>
      </rPr>
      <t xml:space="preserve">
</t>
    </r>
    <r>
      <rPr>
        <b/>
        <sz val="10"/>
        <color theme="1"/>
        <rFont val="Calibri"/>
        <family val="2"/>
        <scheme val="minor"/>
      </rPr>
      <t>'GE Spec' Column:Current configuration information calculated from the Config_Windows and Config_Citrix tabs based on Customer information.
'Customer Config' Column:Current customer VM configuration (#vCPUs, vRAM, etc) to be filled in by customer. 
'In Spec?' Column:Does Customer VM configuration meet GE specifications?</t>
    </r>
    <r>
      <rPr>
        <b/>
        <i/>
        <sz val="10"/>
        <color theme="1"/>
        <rFont val="Arial"/>
        <family val="2"/>
      </rPr>
      <t xml:space="preserve">
</t>
    </r>
  </si>
  <si>
    <t>Standalone DB Server</t>
  </si>
  <si>
    <t>Single Website Deployment Recommendations</t>
  </si>
  <si>
    <t>Multi Website Deployment Recommendations</t>
  </si>
  <si>
    <t>Number Of GUI Servers Needed</t>
  </si>
  <si>
    <t>Single Server Calculations</t>
  </si>
  <si>
    <t xml:space="preserve">DB server </t>
  </si>
  <si>
    <t>Number of Concurrent users</t>
  </si>
  <si>
    <t>Assumptions</t>
  </si>
  <si>
    <t>GUI Server</t>
  </si>
  <si>
    <t>GUI server</t>
  </si>
  <si>
    <t>VCPU</t>
  </si>
  <si>
    <t>Interop Server</t>
  </si>
  <si>
    <t>Interop server</t>
  </si>
  <si>
    <t>PM only</t>
  </si>
  <si>
    <t>Not Recommended</t>
  </si>
  <si>
    <t>Is PM Only</t>
  </si>
  <si>
    <t>Switch between PM and PM + EMR</t>
  </si>
  <si>
    <t># of Additonal GUI servers</t>
  </si>
  <si>
    <t xml:space="preserve">Formula for message to be displayed </t>
  </si>
  <si>
    <t>No additonal GUI server recommended for PM only license</t>
  </si>
  <si>
    <t>Load Balancer Not Required</t>
  </si>
  <si>
    <t>dasdasa</t>
  </si>
  <si>
    <t>adadAD</t>
  </si>
  <si>
    <t>Multi website deployment</t>
  </si>
  <si>
    <t>(EMR +PM) and EMR only</t>
  </si>
  <si>
    <t>4 deployments</t>
  </si>
  <si>
    <t>8 deployments</t>
  </si>
  <si>
    <t>PM Only</t>
  </si>
  <si>
    <t>PM + EMR</t>
  </si>
  <si>
    <t>PM Only License</t>
  </si>
  <si>
    <t>DB CPU</t>
  </si>
  <si>
    <t>DB RAM</t>
  </si>
  <si>
    <t xml:space="preserve">Jboss CPU </t>
  </si>
  <si>
    <t>JBOSS RAM</t>
  </si>
  <si>
    <t xml:space="preserve">Interop CPU </t>
  </si>
  <si>
    <t>Interop RAM</t>
  </si>
  <si>
    <t>10 deployments</t>
  </si>
  <si>
    <t>GUI Application Server</t>
  </si>
  <si>
    <t>Interop Application Server</t>
  </si>
  <si>
    <t>How many patients do you currently have in your DataBase? (Active/Inactive)</t>
  </si>
  <si>
    <t>64-bit VM Citrix/Terminal Server Guest Configuration</t>
  </si>
  <si>
    <t>15 deployments</t>
  </si>
  <si>
    <t>If In Spec?</t>
  </si>
  <si>
    <t>Virtual not virtual</t>
  </si>
  <si>
    <t xml:space="preserve">Total number of websites to be hosted on Application server </t>
  </si>
  <si>
    <t>If Jboss installation will host multiple website deployments, please select the maximum number you will support on your implementation from the dropdown list to the left - the multiple website deployment counts in the dropdown list are the only valid options.  If not, then leave blank.</t>
  </si>
  <si>
    <t>Citrix or Terminal Server</t>
  </si>
  <si>
    <t>Total number of Citrix/ Terminal servers needed:</t>
  </si>
  <si>
    <t># of vCPUs per Citrix Server</t>
  </si>
  <si>
    <t>RAM in GB per Citrix Server</t>
  </si>
  <si>
    <t>Recommended Users per Citrix server</t>
  </si>
  <si>
    <t>It is recommended to have minimum of 500 GB free space on the DB server for better IOPS and response time</t>
  </si>
  <si>
    <t>Interop  server</t>
  </si>
  <si>
    <t># cores per cpu for cell 37 to 45</t>
  </si>
  <si>
    <t>Select One</t>
  </si>
  <si>
    <t>64-bit Server VM Host Configuration - used to gauge hardware subscription on physical host</t>
  </si>
  <si>
    <t>CCC Basic</t>
  </si>
  <si>
    <t>12G SAS</t>
  </si>
  <si>
    <t>22.5G SAS</t>
  </si>
  <si>
    <t>Recommended number of virtual CPUs to be assigned per vm</t>
  </si>
  <si>
    <t>&lt;:VCPUs per VM</t>
  </si>
  <si>
    <t>40 GB minimum free disk space</t>
  </si>
  <si>
    <t>2 GB</t>
  </si>
  <si>
    <t>Total Number Of GUI -Application Servers</t>
  </si>
  <si>
    <t>Kafka Data agent Sync
(Recommended to install the Kafka data agent sync outside application GUI and Interop server. Data agent sync would need 2 VCPU and 4GB of RAM)</t>
  </si>
  <si>
    <r>
      <t xml:space="preserve">Microsoft Hyper-V x64 or later </t>
    </r>
    <r>
      <rPr>
        <b/>
        <sz val="11"/>
        <color theme="1"/>
        <rFont val="Calibri"/>
        <family val="2"/>
        <scheme val="minor"/>
      </rPr>
      <t>(host OS Win server 2012 R2 or later)</t>
    </r>
  </si>
  <si>
    <r>
      <t>How many years into the future do you plan on keeping your servers or storage? (</t>
    </r>
    <r>
      <rPr>
        <b/>
        <sz val="11"/>
        <color theme="1"/>
        <rFont val="Calibri"/>
        <family val="2"/>
        <scheme val="minor"/>
      </rPr>
      <t>This value is used in calculating storage requirements</t>
    </r>
    <r>
      <rPr>
        <sz val="11"/>
        <color theme="1"/>
        <rFont val="Calibri"/>
        <family val="2"/>
        <scheme val="minor"/>
      </rPr>
      <t>)</t>
    </r>
  </si>
  <si>
    <t>Win Svr 2012 R2 64 bit/Win Svr 2016 64 bit</t>
  </si>
  <si>
    <t xml:space="preserve">Total # of Core's required for the   concurrent users entered </t>
  </si>
  <si>
    <t>Cores needed per Citrix server</t>
  </si>
  <si>
    <t>RAM (GB) needed per Citrix Server</t>
  </si>
  <si>
    <t xml:space="preserve">Total Number of Citrix/WTS Servers required for the   concurrent users entered </t>
  </si>
  <si>
    <t>Citrix Server Recommendations</t>
  </si>
  <si>
    <t>GUI/Application Server</t>
  </si>
  <si>
    <t>Recommended RAM after DB size consideration</t>
  </si>
  <si>
    <t>Total CPU after considering DB size</t>
  </si>
  <si>
    <t>This is the minimal hardware recommendation, please configure hardware as per your need.</t>
  </si>
  <si>
    <t>Minimum Spec</t>
  </si>
  <si>
    <t xml:space="preserve">Do not consider this </t>
  </si>
  <si>
    <r>
      <rPr>
        <b/>
        <sz val="11"/>
        <color theme="1"/>
        <rFont val="Calibri"/>
        <family val="2"/>
        <scheme val="minor"/>
      </rPr>
      <t>What do the below information and the sections mea</t>
    </r>
    <r>
      <rPr>
        <sz val="11"/>
        <color theme="1"/>
        <rFont val="Calibri"/>
        <family val="2"/>
        <scheme val="minor"/>
      </rPr>
      <t xml:space="preserve">n:
</t>
    </r>
    <r>
      <rPr>
        <i/>
        <sz val="11"/>
        <color theme="1"/>
        <rFont val="Calibri"/>
        <family val="2"/>
        <scheme val="minor"/>
      </rPr>
      <t xml:space="preserve">'Minimum Spec' Column:Current configuration information calculated from the Config_Windows and Config_Citrix tabs based on Customer information.
</t>
    </r>
    <r>
      <rPr>
        <sz val="11"/>
        <color theme="1"/>
        <rFont val="Calibri"/>
        <family val="2"/>
        <scheme val="minor"/>
      </rPr>
      <t xml:space="preserve">
'Customer Config' Column: Current or New VM configuration (#vCPUs, vRAM, etc) to be filled in by customer</t>
    </r>
    <r>
      <rPr>
        <i/>
        <sz val="11"/>
        <color theme="1"/>
        <rFont val="Calibri"/>
        <family val="2"/>
        <scheme val="minor"/>
      </rPr>
      <t xml:space="preserve">. </t>
    </r>
    <r>
      <rPr>
        <sz val="11"/>
        <color theme="1"/>
        <rFont val="Calibri"/>
        <family val="2"/>
        <scheme val="minor"/>
      </rPr>
      <t xml:space="preserve">
</t>
    </r>
    <r>
      <rPr>
        <i/>
        <sz val="11"/>
        <color theme="1"/>
        <rFont val="Calibri"/>
        <family val="2"/>
        <scheme val="minor"/>
      </rPr>
      <t>'In Spec?' Column:Does Customer VM configuration meet Minimum recommended specifications?</t>
    </r>
  </si>
  <si>
    <r>
      <rPr>
        <b/>
        <sz val="11"/>
        <rFont val="Calibri"/>
        <family val="2"/>
        <scheme val="minor"/>
      </rPr>
      <t xml:space="preserve">Notes: </t>
    </r>
    <r>
      <rPr>
        <sz val="11"/>
        <rFont val="Calibri"/>
        <family val="2"/>
        <scheme val="minor"/>
      </rPr>
      <t xml:space="preserve"> * Physical system only, not supported in VMs unless running the current version with the SR-140 gateway, etc. (VM configuration w/ SR-140 gateway has not been validated by Athenahealth)</t>
    </r>
  </si>
  <si>
    <r>
      <rPr>
        <b/>
        <sz val="11"/>
        <color theme="1"/>
        <rFont val="Calibri"/>
        <family val="2"/>
        <scheme val="minor"/>
      </rPr>
      <t xml:space="preserve">Confidentiality and Non-Disclosure </t>
    </r>
    <r>
      <rPr>
        <sz val="11"/>
        <color theme="1"/>
        <rFont val="Calibri"/>
        <family val="2"/>
        <scheme val="minor"/>
      </rPr>
      <t xml:space="preserve">
This document, and all information contained herein, is the confidential and proprietary information and property of VVC Holding Corp. and subject to confidentiality and/or non-disclosure provisions between you and VVC Holding Corp. If you are not both (i) a current customer licensed to use the product referenced on the cover page of this document and (ii) subject to an agreement containing non-disclosure provisions with VVC Holding Corp., you are not authorized to access this document. 
No part of this document, or any information contained herein, may be reproduced in any form, or incorporated into any information retrieval system, electronic or mechanical, without the explicit written permission of VVC Holding Corp. 
Inquiries regarding copying and/or using the materials contained in this document for any and all purposes outside of the limited scope described herein shall be provided in written form to the address listed below and shall be addressed to the attention of the General Counsel. You should only share sensitive data if required and shall at all times operate in accordance with all applicable laws.</t>
    </r>
  </si>
  <si>
    <t>Please send comments to KnowledgeServicesOrganization</t>
  </si>
  <si>
    <r>
      <rPr>
        <b/>
        <sz val="11"/>
        <color theme="1"/>
        <rFont val="Calibri"/>
        <family val="2"/>
        <scheme val="minor"/>
      </rPr>
      <t xml:space="preserve">Disclaimers </t>
    </r>
    <r>
      <rPr>
        <sz val="11"/>
        <color theme="1"/>
        <rFont val="Calibri"/>
        <family val="2"/>
        <scheme val="minor"/>
      </rPr>
      <t xml:space="preserve">
Any information related to clinical functionality is intended for clinical professionals, and any use of the software, or the information contained therein, should neither circumvent nor take precedence over required patient care, nor should it impede the human intervention of attending nurses, physicians or other medical personnel in a manner that would have a negative impact on patient health. 
This information does not constitute legal, financial, coding, or regulatory advice in connection with your use of the product or service. Please consult your professional advisors for any such advice. The products and services described herein do not code medical procedures. Clinical content accessible via the software is for customer’s reference and convenience only and is not a substitute for the knowledge, expertise and judgment of physicians or other healthcare professionals in patient diagnosis and treatment. Customer, and all related users, is solely responsible for using its professional judgment in the use of any clinical content, and for training its healthcare providers on the use of the content.  Additionally, all clinical and medical treatment, diagnostic and/or billing decisions are the exclusive responsibility of the Customer and for which the Customer shall retain sole liability. 
Any and all forms provided in the software are examples of forms that could be created or revised by professional healthcare providers using the software, and such example forms and content may not have been recently updated. Customer is solely responsible for reviewing all clinical content and forms on an ongoing basis and ensuring they understand how they work.</t>
    </r>
  </si>
  <si>
    <t xml:space="preserve">      </t>
  </si>
  <si>
    <t>For Users less than 25 DB server info details</t>
  </si>
  <si>
    <t>Note: These are recommendations and your requirements may vary based on workflows,DB size and 3rd party customization.Please take into account your current performance and expected growth year over year and plan your hardware accordingly.</t>
  </si>
  <si>
    <t>Windows Server 2016 64-bit</t>
  </si>
  <si>
    <t>SQL Server 2017</t>
  </si>
  <si>
    <t>SQL Server 2019</t>
  </si>
  <si>
    <t>Virtualized Config Checklist: Please complete if you are running your athenaPractice servers in a Virtualized environment (supported are VMware or Hyper-V). Enter the specifications for each Virtual Machine as well as your Vmhosts. Your input will be compared to the appropriate resources assigned based on earlier input and will be flagged if the environments do not meet specifications.</t>
  </si>
  <si>
    <t>Physical Config Checklist: Please complete if you are running your athenaPractice using separate physical servers. Enter the specifications for each server in the blue entry cells. Your input will be compared to the appropriate resources assigned based on earlier input and will be flagged if the environments do not meet specifications.</t>
  </si>
  <si>
    <r>
      <rPr>
        <b/>
        <sz val="11"/>
        <color indexed="8"/>
        <rFont val="Arial"/>
        <family val="2"/>
      </rPr>
      <t>Clinical Info</t>
    </r>
    <r>
      <rPr>
        <b/>
        <sz val="10"/>
        <color indexed="8"/>
        <rFont val="Arial"/>
        <family val="2"/>
      </rPr>
      <t>:</t>
    </r>
    <r>
      <rPr>
        <sz val="10"/>
        <color indexed="8"/>
        <rFont val="Arial"/>
        <family val="2"/>
      </rPr>
      <t xml:space="preserve"> The information requested includes workstation, provider count, patient count, and other clinical related information from which to build a sizing estimate for your athenaPractice or athenaFlow system. In most cases the clinic project manager or other clinic personnel should be able to complete this tab.</t>
    </r>
  </si>
  <si>
    <t>.</t>
  </si>
  <si>
    <t>Enter size of individual hard drives or SSD's to be used for the database in GB (if varies or unknown, please enter 300)</t>
  </si>
  <si>
    <r>
      <rPr>
        <b/>
        <sz val="11"/>
        <color theme="1"/>
        <rFont val="Calibri"/>
        <family val="2"/>
        <scheme val="minor"/>
      </rPr>
      <t xml:space="preserve">Trademarks </t>
    </r>
    <r>
      <rPr>
        <sz val="11"/>
        <color theme="1"/>
        <rFont val="Calibri"/>
        <family val="2"/>
        <scheme val="minor"/>
      </rPr>
      <t xml:space="preserve">
CPT is a registered trademark of the American Medical Association.
All other product names and logos are trademarks or registered trademarks of their respective companies. </t>
    </r>
  </si>
  <si>
    <t>athenaPractice was formerly known as Centricity Practice Solution (CPS). Centricity is a registered trademark of General Electric Company.</t>
  </si>
  <si>
    <t>©2020 VVC Holding Corp. All rights reserved. Confidential and Proprietary Materials</t>
  </si>
  <si>
    <r>
      <rPr>
        <b/>
        <sz val="11"/>
        <color indexed="8"/>
        <rFont val="Arial"/>
        <family val="2"/>
      </rPr>
      <t>Add On &amp; Desktop Applications</t>
    </r>
    <r>
      <rPr>
        <b/>
        <sz val="10"/>
        <color indexed="8"/>
        <rFont val="Arial"/>
        <family val="2"/>
      </rPr>
      <t>:</t>
    </r>
    <r>
      <rPr>
        <sz val="10"/>
        <color indexed="8"/>
        <rFont val="Arial"/>
        <family val="2"/>
      </rPr>
      <t xml:space="preserve"> Static configurations for client workstations and various 3rd party components / applications.</t>
    </r>
  </si>
  <si>
    <t>Are you installing athenaPractice PM only, PM+EMR, or EMR only?</t>
  </si>
  <si>
    <t>(PM only)</t>
  </si>
  <si>
    <t>(PM+EMR)</t>
  </si>
  <si>
    <t>(EMR only)</t>
  </si>
  <si>
    <t>PM04</t>
  </si>
  <si>
    <t>Please select your current version of athenaPractice:</t>
  </si>
  <si>
    <r>
      <t xml:space="preserve">The following items are for images stored in the athenaPractice SQL Database directly.  </t>
    </r>
    <r>
      <rPr>
        <b/>
        <sz val="13"/>
        <color rgb="FFFFFF00"/>
        <rFont val="Calibri"/>
        <family val="2"/>
        <scheme val="minor"/>
      </rPr>
      <t>If utilizing an external document management system instead to store these images, you can skip items 16, 17, and 18.</t>
    </r>
  </si>
  <si>
    <t xml:space="preserve">Do you scan images into a separate document manager server?
</t>
  </si>
  <si>
    <r>
      <t>Assuming 1 document image per patient visit - jpeg, bmp, tiff formats. Please note that these values are for images/attachments to be stored within the athenaPractice database ONLY, not documents that are stored in a separate document management system and referenced from athenaPractice.</t>
    </r>
    <r>
      <rPr>
        <b/>
        <sz val="11"/>
        <color theme="1"/>
        <rFont val="Calibri"/>
        <family val="2"/>
        <scheme val="minor"/>
      </rPr>
      <t xml:space="preserve"> </t>
    </r>
    <r>
      <rPr>
        <sz val="11"/>
        <color theme="1"/>
        <rFont val="Calibri"/>
        <family val="2"/>
        <scheme val="minor"/>
      </rPr>
      <t xml:space="preserve">    NOTE: DICOM (Radiology Images) are not accounted for in this area.</t>
    </r>
  </si>
  <si>
    <t>What is your current version of  athenaPractice:</t>
  </si>
  <si>
    <t>Will the athenaPractice staging area / client install be located on the same server and volume as the athenaPractice database?</t>
  </si>
  <si>
    <t>Enter the SQL Server Version for all Servers/VM's (Standard Or Enterprise)
Note: SQL Server versions in the drop down are the only server versions supported for athenaPractice V20. If you’re running SQL Server Standard Edition, please verify with the Microsoft web site to validate proper RAM and CPU configurations to ensure optimal utilization with that particular version of SQL Server</t>
  </si>
  <si>
    <t>Minimum server database disk space needed for athenaPractice:</t>
  </si>
  <si>
    <t>Number of spindles and RAID level needed for the noted database file types for adequate performance of athenaPractice:</t>
  </si>
  <si>
    <t>Total IOPS required by athenaPractice database:&gt;</t>
  </si>
  <si>
    <t>Required # of Hard disks</t>
  </si>
  <si>
    <r>
      <t xml:space="preserve">Note: Any storage used within a VM that is hosting a athenaPractice database needs to be physically reserved for the DB, especially if located on a SAN. </t>
    </r>
    <r>
      <rPr>
        <b/>
        <sz val="11"/>
        <color rgb="FFFF0000"/>
        <rFont val="Calibri"/>
        <family val="2"/>
        <scheme val="minor"/>
      </rPr>
      <t>No other process are allowed to run on the DB or application servers</t>
    </r>
    <r>
      <rPr>
        <b/>
        <sz val="11"/>
        <rFont val="Calibri"/>
        <family val="2"/>
        <scheme val="minor"/>
      </rPr>
      <t>.
This means that the hard disks/spindles/luns within the SAN need to be dedicated to the DB server's use exclusively.  Hard disks and spindles refer to the same physical disk, be it traditional harddisk or solid state drive.</t>
    </r>
  </si>
  <si>
    <t>athenaPractice Citrix or Windows Terminal Server Memory Requirements
Use this section to estimate requirements for a Citrix or Windows Terminal Server environment.</t>
  </si>
  <si>
    <r>
      <rPr>
        <b/>
        <sz val="11"/>
        <rFont val="Calibri"/>
        <family val="2"/>
        <scheme val="minor"/>
      </rPr>
      <t>Only applies to athenaPractice EMR. If not using CCC / VFE custom clinical content or if you are implementing athenaPractice PM only, choose "NO".</t>
    </r>
    <r>
      <rPr>
        <sz val="11"/>
        <rFont val="Calibri"/>
        <family val="2"/>
        <scheme val="minor"/>
      </rPr>
      <t xml:space="preserve">
-Customer environments / form usage varies. Customers should benchmark their environment to determine their per user session memory usage and processor utilization. If benchmarks differ from  calculated values, select No for CCC content then adjust MB and Users per processor accordingly.
-For PM-only installations, select No for CCC content and then enter 'negative 100 (-100) for MB value (RAM per session needed for CCC only).</t>
    </r>
  </si>
  <si>
    <t>RAM per session needed for CCC / VFE custom content only:</t>
  </si>
  <si>
    <t>Total RAM per session needed for athenaPractice client:</t>
  </si>
  <si>
    <t>4. A "No*" value in the In Spec? column for the CPU configuration means that although the number of cores for your CPU model meet or exceed our Spec, the CPU performance may be below the benchmark for the recommended CPU.  Utilize the link to CPU performance benchmarks above and to the right for more information.</t>
  </si>
  <si>
    <t>athenaPractice System type</t>
  </si>
  <si>
    <t>Scheduling workstations require higher res video graphics cards  (See 'Configuring Environments for athenaPractice' for details).</t>
  </si>
  <si>
    <t>athenaPractice Analytics^^</t>
  </si>
  <si>
    <t xml:space="preserve">Preferred RAID 10 data array with the greater of 250 GB 
or 2.5 times your current athenaPractice database size
Minimum 60 GB OS partition
Separate array (100 GB) for log files optional for increased performance
</t>
  </si>
  <si>
    <t xml:space="preserve">they may experience through the use of athenaPractice.  Move your cursor over each user type to the right to see the typical </t>
  </si>
  <si>
    <t>Concurrent Users per Citrix/WTS server (Note: Max number of users per Citrix/WTS server should not exceed 40 for athenaPractice)</t>
  </si>
  <si>
    <r>
      <rPr>
        <b/>
        <sz val="12"/>
        <rFont val="Calibri"/>
        <family val="2"/>
        <scheme val="minor"/>
      </rPr>
      <t>GB</t>
    </r>
    <r>
      <rPr>
        <b/>
        <sz val="11"/>
        <rFont val="Calibri"/>
        <family val="2"/>
        <scheme val="minor"/>
      </rPr>
      <t xml:space="preserve"> </t>
    </r>
    <r>
      <rPr>
        <sz val="11"/>
        <rFont val="Calibri"/>
        <family val="2"/>
        <scheme val="minor"/>
      </rPr>
      <t>(If new install enter zero)</t>
    </r>
  </si>
  <si>
    <t>Enter the existing athenaPractice database size. If multiple databases, enter total size. Please enter only numeric value in GB.</t>
  </si>
  <si>
    <t>TBD</t>
  </si>
  <si>
    <t xml:space="preserve">Abhijit Warke </t>
  </si>
  <si>
    <t>12.3 Update</t>
  </si>
  <si>
    <t>Who</t>
  </si>
  <si>
    <t>What</t>
  </si>
  <si>
    <t>When</t>
  </si>
  <si>
    <t>V19 Update</t>
  </si>
  <si>
    <t>V20 Update</t>
  </si>
  <si>
    <t>John Waldeck</t>
  </si>
  <si>
    <t>Changed CPS to athenaPractice, added some numeric field validation</t>
  </si>
  <si>
    <t>Changed in Addon tab, ERX version needed for V20  from 4.4.1 to 4.4.2 per Christy Grace</t>
  </si>
  <si>
    <t>Added Citrix Workspace 2008 per engineering and updated required Erx version to 4.4.3 per Org Readiness</t>
  </si>
  <si>
    <t>Windows Server 2019 64-bit</t>
  </si>
  <si>
    <t>Documents Signed per hour</t>
  </si>
  <si>
    <t>eCR Hardware Planner</t>
  </si>
  <si>
    <t>Windows Server 2019 64 bit</t>
  </si>
  <si>
    <t>4</t>
  </si>
  <si>
    <t>6</t>
  </si>
  <si>
    <t>Not Applicable as there is no eSM support.</t>
  </si>
  <si>
    <t>eCR app Hardware Recommendation:
If the total number of concurrent users are below 100 and total number of signed documents per hour  are below 200 documents then, we do not need a separate server to host eCR app. This means eCR can be configured on single JBOSS/App Server if concurrent user count is less than 100. 
If the total number of concurrent users are above 100 and number of documents signed per hour are greater than 200 then please refer to the below table for eCR hardware planner.
Note: Please configure 150 GB of disk storage on the machine where eCR app is configured.</t>
  </si>
  <si>
    <t># VCPU</t>
  </si>
  <si>
    <t>Less than 200</t>
  </si>
  <si>
    <t>Enter size of hard drives to be used for the Citrix/Terminal Server:
(If varies or unknown, please enter 300 as the value)</t>
  </si>
  <si>
    <t>Will CCC/VFE or other Custom Clinical content be enabled?</t>
  </si>
  <si>
    <t>eCR can be configured on single JBOSS/App Server if concurrent user count is less than 101</t>
  </si>
  <si>
    <t>751-1500</t>
  </si>
  <si>
    <t>1501-2500</t>
  </si>
  <si>
    <t>2501-3500</t>
  </si>
  <si>
    <t>3501-4500</t>
  </si>
  <si>
    <t>201-750</t>
  </si>
  <si>
    <t>Windows 10, Versions 21H1 and 21H2 
Windows 11, 22H2</t>
  </si>
  <si>
    <t xml:space="preserve">Windows Server 2016 
Windows Server 2019
Windows Server 2022
 Standard/Datacenter 64-bit  </t>
  </si>
  <si>
    <t>Edge should be the default version.
IE support has been removed by Microsoft</t>
  </si>
  <si>
    <t>V22</t>
  </si>
  <si>
    <t>Windows Server 2022 64-bit</t>
  </si>
  <si>
    <t>SQL Server 2016 SP2 &amp; SP3</t>
  </si>
  <si>
    <t>Windows Server 2022 64 bit</t>
  </si>
  <si>
    <t xml:space="preserve">Hardware Requirements </t>
  </si>
  <si>
    <t xml:space="preserve"> Small Deployment 
&lt; 5,000 message per day &lt; 50 CCD/CDA’s per day </t>
  </si>
  <si>
    <t xml:space="preserve">Medium Deployment 
&lt; 250K messages per day &lt; 1,000 CCD/CDA’s per day </t>
  </si>
  <si>
    <t xml:space="preserve">Large Deployment 
&lt; 5M message per day &lt; 500K CCD/CDA’s per day </t>
  </si>
  <si>
    <t xml:space="preserve">Enterprise 
&gt; 5M messages per day &gt; 500K CCD/CDA’s per day </t>
  </si>
  <si>
    <t xml:space="preserve">Dedicated Server  </t>
  </si>
  <si>
    <t xml:space="preserve">Not required </t>
  </si>
  <si>
    <t xml:space="preserve">Recommended </t>
  </si>
  <si>
    <t xml:space="preserve">Recommended  </t>
  </si>
  <si>
    <t>Processors</t>
  </si>
  <si>
    <t>2-4 cores*</t>
  </si>
  <si>
    <t>4-6 cores</t>
  </si>
  <si>
    <t>6-12 cores</t>
  </si>
  <si>
    <t>12+ cores</t>
  </si>
  <si>
    <t>QIE is a multi-threaded enterprise application which can take full advantage of all available CPU cores
*64-bit JVM is recommended which requires a minimum of 2 cores, but QIE will work on a single core and 32-bit JVM</t>
  </si>
  <si>
    <t xml:space="preserve">System RAM </t>
  </si>
  <si>
    <t>2 – 4 GB</t>
  </si>
  <si>
    <t>4 – 8 GB</t>
  </si>
  <si>
    <t>8 – 16 GB</t>
  </si>
  <si>
    <t>16+ GB</t>
  </si>
  <si>
    <t xml:space="preserve">QIE RAM </t>
  </si>
  <si>
    <t>1 – 2 GB*</t>
  </si>
  <si>
    <t>8+ GB</t>
  </si>
  <si>
    <t xml:space="preserve">* 32-bit JVM is limited to 1.2 GB of RAM </t>
  </si>
  <si>
    <t xml:space="preserve">Available Hard Disk Space </t>
  </si>
  <si>
    <t>20 – 50 GB</t>
  </si>
  <si>
    <t>50 – 100 GB</t>
  </si>
  <si>
    <t>100 – 500 GB</t>
  </si>
  <si>
    <t>500+ GB</t>
  </si>
  <si>
    <t>Hard disk requirements will vary depending on message volume and retention policy, recommendation based on 14-day retention</t>
  </si>
  <si>
    <t xml:space="preserve">Virtualization </t>
  </si>
  <si>
    <t>Supported</t>
  </si>
  <si>
    <t xml:space="preserve">Supported </t>
  </si>
  <si>
    <t>QIE has been tested in VMware’s ESX Server and Workstation environments on both Windows and Linux guest systems</t>
  </si>
  <si>
    <t xml:space="preserve">Software Requirements </t>
  </si>
  <si>
    <t>MariaDB v5 – 10 
MySQL v5.x 
MSSQL 2003 – 2019</t>
  </si>
  <si>
    <t>Operating System 
(All deployments)</t>
  </si>
  <si>
    <t>All Windows Platforms Currently Supported by Microsoft/ Ubuntu 9.04 or newer / Unix
QIE supports both 32-bit and 64-bit operating systems</t>
  </si>
  <si>
    <t>Java
(All deployments)</t>
  </si>
  <si>
    <t>64-bit (32-bit supported)</t>
  </si>
  <si>
    <t>64-bit</t>
  </si>
  <si>
    <t xml:space="preserve">64-bit </t>
  </si>
  <si>
    <t>Java Runtime Environment (JRE) version 8</t>
  </si>
  <si>
    <t>Client Browser
(All deployments)</t>
  </si>
  <si>
    <t>Google Chrome 12 or newer / Mozilla Firefox 6 or newer / Safari 6 or newer
Client browser is only used to access the QIE console login and configure the engine from any workstation.</t>
  </si>
  <si>
    <r>
      <t xml:space="preserve">NOTE:  Hardware specifications in this calculator have been </t>
    </r>
    <r>
      <rPr>
        <b/>
        <i/>
        <sz val="12"/>
        <rFont val="Calibri"/>
        <family val="2"/>
        <scheme val="minor"/>
      </rPr>
      <t>significantly updated</t>
    </r>
    <r>
      <rPr>
        <b/>
        <sz val="12"/>
        <rFont val="Calibri"/>
        <family val="2"/>
        <scheme val="minor"/>
      </rPr>
      <t xml:space="preserve"> to include best-practice recommendations to enable improved performance while using athenaPractice</t>
    </r>
  </si>
  <si>
    <t>QIE Hardware &amp; Software Planner</t>
  </si>
  <si>
    <r>
      <rPr>
        <b/>
        <sz val="14"/>
        <color theme="1"/>
        <rFont val="Calibri"/>
        <family val="2"/>
        <scheme val="minor"/>
      </rPr>
      <t xml:space="preserve">Note: </t>
    </r>
    <r>
      <rPr>
        <sz val="14"/>
        <color theme="1"/>
        <rFont val="Calibri"/>
        <family val="2"/>
        <scheme val="minor"/>
      </rPr>
      <t>Hardware and Software Requirements are available under QIE Install Guide. For further details, kindly refer QIE install guide to understand the hardware and software requirements</t>
    </r>
  </si>
  <si>
    <t>Database Management System</t>
  </si>
  <si>
    <t>Please click here to navigate to QIE Hardware &amp; Software Planner</t>
  </si>
  <si>
    <t xml:space="preserve">Windows 10, Versions 21H1 and 21H2 
Windows 11, 22H2
Windows Server 2016 _x000B_Windows Server 2019
Windows Server 2022_x000B_ Standard/Datacenter 64-bit  
Note: Please refer to the hardware recommendations from Qvera Install guide                      </t>
  </si>
  <si>
    <t>SQL Server 2022 (See Config Guide)</t>
  </si>
  <si>
    <t>V23</t>
  </si>
  <si>
    <t>Win Svr 2019 64 bit</t>
  </si>
  <si>
    <t>Win Svr 2022 64 bit</t>
  </si>
  <si>
    <t>CC Basic 24</t>
  </si>
  <si>
    <t xml:space="preserve">
Win Svr 2016 64 bit</t>
  </si>
  <si>
    <t>Win  Svr 2016 64 bit</t>
  </si>
  <si>
    <t>Win Svr 2016 64 bit</t>
  </si>
  <si>
    <t>Version 9/26/2024</t>
  </si>
  <si>
    <t xml:space="preserve">Company Address
VVC Holding Corp.
80 Guest Street
Boston, MA 02135 </t>
  </si>
  <si>
    <t>InDxLogic Document Management</t>
  </si>
  <si>
    <t>SMPP has been replaced by  MOT - ezAccess 4.0.328.90 and above (Cloud Based)</t>
  </si>
  <si>
    <t>Document Management (DM) (1-20 users)***</t>
  </si>
  <si>
    <t>Document Management (DM)  (21-70 users)***</t>
  </si>
  <si>
    <t>DM v10.8</t>
  </si>
  <si>
    <t>Document Management (DM) (71- 200 users)***</t>
  </si>
  <si>
    <t>Document Management (DM) (201- 300 users)***</t>
  </si>
  <si>
    <t>2 TB</t>
  </si>
  <si>
    <t>Windows Server 2014, 2016,  2019 and 2022  Standard/Datacenter 64-bit</t>
  </si>
  <si>
    <t>SQL 2014,2016,2017,2019 and  SQL 2019(Standard or Enterprise Editions)</t>
  </si>
  <si>
    <t>** Surescripts components are no longer supported</t>
  </si>
  <si>
    <t>athenaFlex Bridge 1.x - athenaFlex Bridge is a service that synchronizes data between athenaFlow and athenaPractice ****</t>
  </si>
  <si>
    <r>
      <t>**** Please refer to Installation Guide "</t>
    </r>
    <r>
      <rPr>
        <b/>
        <i/>
        <sz val="11"/>
        <color theme="1"/>
        <rFont val="Calibri"/>
        <family val="2"/>
        <scheme val="minor"/>
      </rPr>
      <t>Installation_Guide_LinkLogic_MIK_aFlex_Bridge.pdf</t>
    </r>
    <r>
      <rPr>
        <sz val="11"/>
        <color theme="1"/>
        <rFont val="Calibri"/>
        <family val="2"/>
        <scheme val="minor"/>
      </rPr>
      <t>" in Customer Portal for the configuration of athenaFlex Bridge</t>
    </r>
  </si>
  <si>
    <t>CALCULATING HARDWARE REQUIREMENTS FOR athenaPractice™ V25</t>
  </si>
  <si>
    <t>Use this workbook to estimate the server requirements for your athenaPractice v25 installation. Provide an estimate of the number of practitioners, patients and other clinical data. The workbook will help you calculate the memory, disk storage and I/O throughput (IOPS) required on your Windows Server to ensure good performance. It will also compare the recommended specifications to your proposed installation and will flag deficiencies.</t>
  </si>
  <si>
    <r>
      <t xml:space="preserve">NOTE:  These calculations are based on the most current specifications and are subject to change without notice. </t>
    </r>
    <r>
      <rPr>
        <b/>
        <sz val="11"/>
        <color indexed="8"/>
        <rFont val="Calibri"/>
        <family val="2"/>
      </rPr>
      <t>For All virtual machine (VM) calculations: virtual CPU, virtual RAM, and virtual storage allocations are predicated on a 1:1 mapping between physical cores (logical with hyper-threading enabled) / RAM / storage and virtual cores / RAM / storage.  In addition, all CPU recommendations are predicated on the use of Intel Xeon(R) Gold 6242 or higher CPUs.</t>
    </r>
  </si>
  <si>
    <r>
      <rPr>
        <b/>
        <sz val="11"/>
        <color theme="1"/>
        <rFont val="Calibri"/>
        <family val="2"/>
        <scheme val="minor"/>
      </rPr>
      <t>Copyright Notice</t>
    </r>
    <r>
      <rPr>
        <sz val="11"/>
        <color theme="1"/>
        <rFont val="Calibri"/>
        <family val="2"/>
        <scheme val="minor"/>
      </rPr>
      <t xml:space="preserve">
©2025 VVC Holding Corp. All rights reserved. 
CPT copyright ©2023 American Medical Association. All rights reserved. Fee schedules, relative value units, conversion factors and/or related components are not assigned by the AMA, are not part of CPT, and the AMA is not recommending their use.  The AMA does not directly or indirectly practice medicine or dispense medical services.  The AMA assumes no liability for data contained or not contained herein.</t>
    </r>
  </si>
  <si>
    <t>V24</t>
  </si>
  <si>
    <t>Memory required for athenaPractice V25  and SQL Server:</t>
  </si>
  <si>
    <t xml:space="preserve">Note: athenaPractice v25 supports Windows Server 2016, 2019 and 2022  64 bit with Citrix Workspace App 2405 and XenDesktop 7.15 LTSR and Citrix Virtual Apps &amp; Desktops  2203 Citrix Workspace App 2203
These values reflect the memory needs for athenaPractice and do not account for any other applications on the Citrix server such as Web browsing, Office etc
</t>
  </si>
  <si>
    <t xml:space="preserve">athenaPractice Analytics 25.0 </t>
  </si>
  <si>
    <t>SQL Server 2016 SP3 , 2017 ,2019 and 2022</t>
  </si>
  <si>
    <t>23.4.1.16409</t>
  </si>
  <si>
    <r>
      <t xml:space="preserve">Note: 
</t>
    </r>
    <r>
      <rPr>
        <sz val="14"/>
        <color theme="1"/>
        <rFont val="Calibri"/>
        <family val="2"/>
        <scheme val="minor"/>
      </rPr>
      <t xml:space="preserve">1. 
2. If you are planning to use EHI data export functionality , please configure additional 4 GB of RAM on the QVERA server in addition to the above defined RAM requirements. 
3. Disk Storage- If you are looking at exporting ~ 100 K EHI patient records, then you will have to plan ~ 800 GB of disk storage in order to store the exported Patient records. </t>
    </r>
  </si>
  <si>
    <t xml:space="preserve">Please complete Row 22 if you have Do you have significant amount of records run/processed  as part of Nightly Jobs like Clinical Quality Measure, Functional Measures, HCC and Medication Management Data synchronization and FHIR resources </t>
  </si>
  <si>
    <t xml:space="preserve">Do you process a substantial volume of data during nightly jobs, such as Clinical Quality Measures, Functional Measures, HCC, and Medication Management Data synchronization? And also is there substancial exchange of healthcare information by other healthcare systems using FHIR(Fast Healthcare Interoperability Resources)
</t>
  </si>
  <si>
    <r>
      <t xml:space="preserve">The recommended values below are derived from historical and deidentified customer data and may differ for your implementation based on your workflows and customization of athenaPractice. Your configuration may need to be adjusted based on your utilization after go-live.
</t>
    </r>
    <r>
      <rPr>
        <b/>
        <sz val="12"/>
        <color rgb="FFFF0000"/>
        <rFont val="Calibri"/>
        <family val="2"/>
        <scheme val="minor"/>
      </rPr>
      <t>Note: Most customers have a "Single Website Deployment". If so, please complete rows 8-23, then complete rows 44-48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</si>
</sst>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_);[Red]\(0\)"/>
    <numFmt numFmtId="165" formatCode="0.000"/>
    <numFmt numFmtId="166" formatCode="0.0"/>
    <numFmt numFmtId="167" formatCode="#,##0.0"/>
  </numFmts>
  <fonts count="112">
    <font>
      <sz val="11"/>
      <color theme="1"/>
      <name val="Calibri"/>
      <family val="2"/>
      <scheme val="minor"/>
    </font>
    <font>
      <sz val="10"/>
      <color indexed="8"/>
      <name val="Arial"/>
      <family val="2"/>
    </font>
    <font>
      <sz val="10"/>
      <name val="Arial"/>
      <family val="2"/>
    </font>
    <font>
      <b/>
      <u/>
      <sz val="12"/>
      <name val="Arial"/>
      <family val="2"/>
    </font>
    <font>
      <b/>
      <sz val="10"/>
      <name val="Arial"/>
      <family val="2"/>
    </font>
    <font>
      <b/>
      <u/>
      <sz val="10"/>
      <name val="Arial"/>
      <family val="2"/>
    </font>
    <font>
      <b/>
      <sz val="10"/>
      <color indexed="8"/>
      <name val="Arial"/>
      <family val="2"/>
    </font>
    <font>
      <sz val="8"/>
      <color indexed="81"/>
      <name val="Tahoma"/>
      <family val="2"/>
    </font>
    <font>
      <b/>
      <sz val="11"/>
      <color indexed="8"/>
      <name val="Calibri"/>
      <family val="2"/>
    </font>
    <font>
      <sz val="11"/>
      <name val="Calibri"/>
      <family val="2"/>
    </font>
    <font>
      <b/>
      <sz val="11"/>
      <name val="Calibri"/>
      <family val="2"/>
    </font>
    <font>
      <b/>
      <sz val="12"/>
      <name val="Arial"/>
      <family val="2"/>
    </font>
    <font>
      <b/>
      <sz val="8"/>
      <color indexed="81"/>
      <name val="Tahoma"/>
      <family val="2"/>
    </font>
    <font>
      <sz val="7"/>
      <color indexed="56"/>
      <name val="Times New Roman"/>
      <family val="1"/>
    </font>
    <font>
      <sz val="10"/>
      <color indexed="56"/>
      <name val="Arial"/>
      <family val="2"/>
    </font>
    <font>
      <sz val="10"/>
      <color indexed="60"/>
      <name val="Arial"/>
      <family val="2"/>
    </font>
    <font>
      <b/>
      <sz val="11"/>
      <color indexed="8"/>
      <name val="Arial"/>
      <family val="2"/>
    </font>
    <font>
      <b/>
      <sz val="12"/>
      <color indexed="30"/>
      <name val="Calibri"/>
      <family val="2"/>
    </font>
    <font>
      <b/>
      <sz val="14"/>
      <color indexed="30"/>
      <name val="Calibri"/>
      <family val="2"/>
    </font>
    <font>
      <b/>
      <sz val="9"/>
      <color indexed="81"/>
      <name val="Tahoma"/>
      <family val="2"/>
    </font>
    <font>
      <sz val="9"/>
      <color indexed="81"/>
      <name val="Tahoma"/>
      <family val="2"/>
    </font>
    <font>
      <b/>
      <sz val="9"/>
      <name val="Arial"/>
      <family val="2"/>
    </font>
    <font>
      <b/>
      <sz val="11"/>
      <color theme="3"/>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color theme="3"/>
      <name val="Arial"/>
      <family val="2"/>
    </font>
    <font>
      <sz val="11"/>
      <color rgb="FF1F497D"/>
      <name val="Calibri"/>
      <family val="2"/>
      <scheme val="minor"/>
    </font>
    <font>
      <sz val="10"/>
      <color rgb="FF1F497D"/>
      <name val="Symbol"/>
      <family val="1"/>
      <charset val="2"/>
    </font>
    <font>
      <b/>
      <sz val="18"/>
      <color theme="1"/>
      <name val="Calibri"/>
      <family val="2"/>
      <scheme val="minor"/>
    </font>
    <font>
      <sz val="10"/>
      <color rgb="FF1F497D"/>
      <name val="Arial"/>
      <family val="2"/>
    </font>
    <font>
      <b/>
      <u/>
      <sz val="14"/>
      <color theme="1"/>
      <name val="Calibri"/>
      <family val="2"/>
      <scheme val="minor"/>
    </font>
    <font>
      <b/>
      <u/>
      <sz val="11"/>
      <color theme="1"/>
      <name val="Calibri"/>
      <family val="2"/>
      <scheme val="minor"/>
    </font>
    <font>
      <b/>
      <sz val="11"/>
      <name val="Calibri"/>
      <family val="2"/>
      <scheme val="minor"/>
    </font>
    <font>
      <b/>
      <u/>
      <sz val="11"/>
      <name val="Calibri"/>
      <family val="2"/>
      <scheme val="minor"/>
    </font>
    <font>
      <u/>
      <sz val="11"/>
      <color theme="1"/>
      <name val="Calibri"/>
      <family val="2"/>
      <scheme val="minor"/>
    </font>
    <font>
      <sz val="10"/>
      <color theme="1"/>
      <name val="Calibri"/>
      <family val="2"/>
      <scheme val="minor"/>
    </font>
    <font>
      <sz val="10"/>
      <name val="Calibri"/>
      <family val="2"/>
      <scheme val="minor"/>
    </font>
    <font>
      <u/>
      <sz val="10"/>
      <name val="Calibri"/>
      <family val="2"/>
      <scheme val="minor"/>
    </font>
    <font>
      <sz val="9"/>
      <name val="Calibri"/>
      <family val="2"/>
      <scheme val="minor"/>
    </font>
    <font>
      <sz val="12"/>
      <name val="Calibri"/>
      <family val="2"/>
      <scheme val="minor"/>
    </font>
    <font>
      <b/>
      <sz val="12"/>
      <name val="Calibri"/>
      <family val="2"/>
      <scheme val="minor"/>
    </font>
    <font>
      <u/>
      <sz val="11"/>
      <name val="Calibri"/>
      <family val="2"/>
      <scheme val="minor"/>
    </font>
    <font>
      <b/>
      <sz val="14"/>
      <name val="Calibri"/>
      <family val="2"/>
      <scheme val="minor"/>
    </font>
    <font>
      <sz val="10"/>
      <color theme="1"/>
      <name val="Arial"/>
      <family val="2"/>
    </font>
    <font>
      <b/>
      <sz val="11"/>
      <color rgb="FF1F497D"/>
      <name val="Arial"/>
      <family val="2"/>
    </font>
    <font>
      <b/>
      <sz val="16"/>
      <name val="Calibri"/>
      <family val="2"/>
      <scheme val="minor"/>
    </font>
    <font>
      <b/>
      <sz val="10"/>
      <color theme="1"/>
      <name val="Arial"/>
      <family val="2"/>
    </font>
    <font>
      <b/>
      <u/>
      <sz val="10"/>
      <color rgb="FFFF0000"/>
      <name val="Arial"/>
      <family val="2"/>
    </font>
    <font>
      <sz val="11"/>
      <color theme="1"/>
      <name val="Arial"/>
      <family val="2"/>
    </font>
    <font>
      <b/>
      <sz val="16"/>
      <color theme="1"/>
      <name val="Calibri"/>
      <family val="2"/>
      <scheme val="minor"/>
    </font>
    <font>
      <b/>
      <sz val="14"/>
      <color theme="1"/>
      <name val="Calibri"/>
      <family val="2"/>
      <scheme val="minor"/>
    </font>
    <font>
      <sz val="12"/>
      <color theme="1"/>
      <name val="Calibri"/>
      <family val="2"/>
      <scheme val="minor"/>
    </font>
    <font>
      <b/>
      <i/>
      <sz val="10"/>
      <color theme="1"/>
      <name val="Arial"/>
      <family val="2"/>
    </font>
    <font>
      <sz val="18"/>
      <color theme="1"/>
      <name val="Calibri"/>
      <family val="2"/>
      <scheme val="minor"/>
    </font>
    <font>
      <b/>
      <sz val="8"/>
      <color theme="1"/>
      <name val="Arial"/>
      <family val="2"/>
    </font>
    <font>
      <sz val="8"/>
      <color theme="1"/>
      <name val="Arial"/>
      <family val="2"/>
    </font>
    <font>
      <b/>
      <sz val="12"/>
      <color theme="3"/>
      <name val="Arial"/>
      <family val="2"/>
    </font>
    <font>
      <b/>
      <sz val="12"/>
      <color rgb="FF1F497D"/>
      <name val="Arial"/>
      <family val="2"/>
    </font>
    <font>
      <sz val="11"/>
      <color theme="3"/>
      <name val="Calibri"/>
      <family val="2"/>
      <scheme val="minor"/>
    </font>
    <font>
      <i/>
      <u/>
      <sz val="10"/>
      <color theme="3"/>
      <name val="Arial"/>
      <family val="2"/>
    </font>
    <font>
      <b/>
      <i/>
      <u/>
      <sz val="10"/>
      <name val="Arial"/>
      <family val="2"/>
    </font>
    <font>
      <b/>
      <sz val="12"/>
      <color theme="1"/>
      <name val="Calibri"/>
      <family val="2"/>
      <scheme val="minor"/>
    </font>
    <font>
      <sz val="11"/>
      <color rgb="FF000000"/>
      <name val="Calibri"/>
      <family val="2"/>
    </font>
    <font>
      <b/>
      <sz val="11"/>
      <color rgb="FFFF0000"/>
      <name val="Calibri"/>
      <family val="2"/>
      <scheme val="minor"/>
    </font>
    <font>
      <b/>
      <sz val="18"/>
      <color rgb="FFFF0000"/>
      <name val="Calibri"/>
      <family val="2"/>
      <scheme val="minor"/>
    </font>
    <font>
      <b/>
      <sz val="13"/>
      <name val="Calibri"/>
      <family val="2"/>
      <scheme val="minor"/>
    </font>
    <font>
      <sz val="13"/>
      <color theme="1"/>
      <name val="Calibri"/>
      <family val="2"/>
      <scheme val="minor"/>
    </font>
    <font>
      <b/>
      <sz val="14"/>
      <color rgb="FFFF0000"/>
      <name val="Calibri"/>
      <family val="2"/>
      <scheme val="minor"/>
    </font>
    <font>
      <sz val="11"/>
      <color theme="0"/>
      <name val="Calibri"/>
      <family val="2"/>
      <scheme val="minor"/>
    </font>
    <font>
      <b/>
      <sz val="14"/>
      <color theme="1"/>
      <name val="Arial"/>
      <family val="2"/>
    </font>
    <font>
      <sz val="11"/>
      <color theme="1"/>
      <name val="GE Inspira"/>
      <family val="2"/>
    </font>
    <font>
      <b/>
      <sz val="11"/>
      <color rgb="FF0070C0"/>
      <name val="Calibri"/>
      <family val="2"/>
      <scheme val="minor"/>
    </font>
    <font>
      <sz val="11"/>
      <color theme="1"/>
      <name val="Calibri"/>
      <family val="2"/>
      <scheme val="minor"/>
    </font>
    <font>
      <b/>
      <sz val="13"/>
      <color theme="3"/>
      <name val="Calibri"/>
      <family val="2"/>
      <scheme val="minor"/>
    </font>
    <font>
      <b/>
      <i/>
      <sz val="10"/>
      <color theme="1"/>
      <name val="Calibri"/>
      <family val="2"/>
      <scheme val="minor"/>
    </font>
    <font>
      <b/>
      <sz val="10"/>
      <color theme="1"/>
      <name val="Calibri"/>
      <family val="2"/>
      <scheme val="minor"/>
    </font>
    <font>
      <b/>
      <i/>
      <sz val="12"/>
      <color theme="1"/>
      <name val="Calibri"/>
      <family val="2"/>
      <scheme val="minor"/>
    </font>
    <font>
      <b/>
      <sz val="12"/>
      <color theme="3"/>
      <name val="Calibri"/>
      <family val="2"/>
      <scheme val="minor"/>
    </font>
    <font>
      <b/>
      <sz val="10"/>
      <name val="Calibri"/>
      <family val="2"/>
      <scheme val="minor"/>
    </font>
    <font>
      <b/>
      <sz val="10"/>
      <color indexed="8"/>
      <name val="Calibri"/>
      <family val="2"/>
      <scheme val="minor"/>
    </font>
    <font>
      <b/>
      <sz val="10"/>
      <color rgb="FFFF0000"/>
      <name val="Calibri"/>
      <family val="2"/>
      <scheme val="minor"/>
    </font>
    <font>
      <b/>
      <u/>
      <sz val="10"/>
      <name val="Calibri"/>
      <family val="2"/>
      <scheme val="minor"/>
    </font>
    <font>
      <b/>
      <sz val="11"/>
      <color indexed="8"/>
      <name val="Calibri"/>
      <family val="2"/>
      <scheme val="minor"/>
    </font>
    <font>
      <b/>
      <sz val="13"/>
      <color theme="3" tint="0.39997558519241921"/>
      <name val="Calibri"/>
      <family val="2"/>
      <scheme val="minor"/>
    </font>
    <font>
      <b/>
      <sz val="12"/>
      <color rgb="FFFF0000"/>
      <name val="Calibri"/>
      <family val="2"/>
      <scheme val="minor"/>
    </font>
    <font>
      <b/>
      <sz val="12"/>
      <color theme="3" tint="0.39997558519241921"/>
      <name val="Calibri"/>
      <family val="2"/>
      <scheme val="minor"/>
    </font>
    <font>
      <i/>
      <sz val="11"/>
      <color theme="1"/>
      <name val="Calibri"/>
      <family val="2"/>
      <scheme val="minor"/>
    </font>
    <font>
      <i/>
      <sz val="11"/>
      <color rgb="FF0070C0"/>
      <name val="Calibri"/>
      <family val="2"/>
      <scheme val="minor"/>
    </font>
    <font>
      <b/>
      <i/>
      <sz val="11"/>
      <color rgb="FF0070C0"/>
      <name val="Calibri"/>
      <family val="2"/>
      <scheme val="minor"/>
    </font>
    <font>
      <b/>
      <i/>
      <sz val="11"/>
      <color theme="1"/>
      <name val="Calibri"/>
      <family val="2"/>
      <scheme val="minor"/>
    </font>
    <font>
      <b/>
      <i/>
      <sz val="16"/>
      <color rgb="FF0070C0"/>
      <name val="Calibri"/>
      <family val="2"/>
      <scheme val="minor"/>
    </font>
    <font>
      <i/>
      <sz val="11"/>
      <name val="Calibri"/>
      <family val="2"/>
      <scheme val="minor"/>
    </font>
    <font>
      <b/>
      <sz val="10"/>
      <color rgb="FF0070C0"/>
      <name val="Arial"/>
      <family val="2"/>
    </font>
    <font>
      <b/>
      <i/>
      <sz val="12"/>
      <color rgb="FF0070C0"/>
      <name val="Calibri"/>
      <family val="2"/>
      <scheme val="minor"/>
    </font>
    <font>
      <b/>
      <i/>
      <sz val="18"/>
      <name val="Calibri"/>
      <family val="2"/>
      <scheme val="minor"/>
    </font>
    <font>
      <b/>
      <sz val="13"/>
      <color rgb="FFFFFF00"/>
      <name val="Calibri"/>
      <family val="2"/>
      <scheme val="minor"/>
    </font>
    <font>
      <sz val="24"/>
      <color theme="1"/>
      <name val="Calibri"/>
      <family val="2"/>
      <scheme val="minor"/>
    </font>
    <font>
      <b/>
      <sz val="16"/>
      <color rgb="FF000000"/>
      <name val="Calibri"/>
      <family val="2"/>
    </font>
    <font>
      <b/>
      <i/>
      <u/>
      <sz val="11"/>
      <color rgb="FF0070C0"/>
      <name val="Calibri"/>
      <family val="2"/>
      <scheme val="minor"/>
    </font>
    <font>
      <b/>
      <sz val="9"/>
      <color rgb="FF000000"/>
      <name val="Tahoma"/>
      <family val="2"/>
    </font>
    <font>
      <sz val="9"/>
      <color rgb="FF000000"/>
      <name val="Tahoma"/>
      <family val="2"/>
    </font>
    <font>
      <sz val="14"/>
      <color theme="1"/>
      <name val="Calibri"/>
      <family val="2"/>
      <scheme val="minor"/>
    </font>
    <font>
      <sz val="16"/>
      <color theme="1"/>
      <name val="Calibri"/>
      <family val="2"/>
      <scheme val="minor"/>
    </font>
    <font>
      <sz val="18"/>
      <color theme="1"/>
      <name val="Verdana"/>
      <family val="2"/>
    </font>
    <font>
      <b/>
      <sz val="12"/>
      <color theme="1"/>
      <name val="TimesNewRomanPS"/>
    </font>
    <font>
      <sz val="12"/>
      <color theme="1"/>
      <name val="TimesNewRomanPS"/>
    </font>
    <font>
      <u/>
      <sz val="14"/>
      <color theme="10"/>
      <name val="Calibri"/>
      <family val="2"/>
      <scheme val="minor"/>
    </font>
    <font>
      <b/>
      <i/>
      <sz val="12"/>
      <name val="Calibri"/>
      <family val="2"/>
      <scheme val="minor"/>
    </font>
    <font>
      <b/>
      <sz val="10"/>
      <color rgb="FF000000"/>
      <name val="Tahoma"/>
      <family val="2"/>
    </font>
    <font>
      <sz val="8"/>
      <color rgb="FF000000"/>
      <name val="Tahoma"/>
      <family val="2"/>
    </font>
  </fonts>
  <fills count="34">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theme="0"/>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1"/>
        <bgColor indexed="64"/>
      </patternFill>
    </fill>
    <fill>
      <patternFill patternType="solid">
        <fgColor theme="1" tint="4.9989318521683403E-2"/>
        <bgColor indexed="64"/>
      </patternFill>
    </fill>
    <fill>
      <patternFill patternType="solid">
        <fgColor rgb="FFCCCCFF"/>
        <bgColor indexed="64"/>
      </patternFill>
    </fill>
    <fill>
      <patternFill patternType="darkUp">
        <bgColor theme="0" tint="-0.249977111117893"/>
      </patternFill>
    </fill>
    <fill>
      <patternFill patternType="darkUp">
        <bgColor rgb="FFFFFF00"/>
      </patternFill>
    </fill>
    <fill>
      <patternFill patternType="solid">
        <fgColor rgb="FF66FFFF"/>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2"/>
        <bgColor indexed="64"/>
      </patternFill>
    </fill>
    <fill>
      <patternFill patternType="solid">
        <fgColor theme="2"/>
        <bgColor indexed="35"/>
      </patternFill>
    </fill>
    <fill>
      <patternFill patternType="solid">
        <fgColor rgb="FFFFC000"/>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0000"/>
        <bgColor indexed="64"/>
      </patternFill>
    </fill>
    <fill>
      <patternFill patternType="solid">
        <fgColor theme="6" tint="0.59999389629810485"/>
        <bgColor indexed="64"/>
      </patternFill>
    </fill>
    <fill>
      <patternFill patternType="solid">
        <fgColor rgb="FFFFFFFF"/>
        <bgColor rgb="FF000000"/>
      </patternFill>
    </fill>
    <fill>
      <patternFill patternType="solid">
        <fgColor theme="4" tint="0.59999389629810485"/>
        <bgColor indexed="64"/>
      </patternFill>
    </fill>
  </fills>
  <borders count="190">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ck">
        <color indexed="64"/>
      </top>
      <bottom style="thin">
        <color indexed="64"/>
      </bottom>
      <diagonal/>
    </border>
    <border>
      <left/>
      <right/>
      <top/>
      <bottom style="thick">
        <color indexed="64"/>
      </bottom>
      <diagonal/>
    </border>
    <border>
      <left style="double">
        <color indexed="64"/>
      </left>
      <right style="double">
        <color indexed="64"/>
      </right>
      <top style="double">
        <color indexed="64"/>
      </top>
      <bottom style="double">
        <color indexed="64"/>
      </bottom>
      <diagonal/>
    </border>
    <border>
      <left/>
      <right style="thick">
        <color indexed="64"/>
      </right>
      <top style="thin">
        <color indexed="64"/>
      </top>
      <bottom style="thick">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double">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double">
        <color indexed="64"/>
      </left>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ck">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style="double">
        <color indexed="64"/>
      </left>
      <right style="double">
        <color indexed="64"/>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right/>
      <top style="medium">
        <color indexed="64"/>
      </top>
      <bottom style="medium">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double">
        <color indexed="64"/>
      </right>
      <top style="double">
        <color indexed="64"/>
      </top>
      <bottom style="medium">
        <color indexed="64"/>
      </bottom>
      <diagonal/>
    </border>
    <border>
      <left/>
      <right/>
      <top/>
      <bottom style="double">
        <color indexed="64"/>
      </bottom>
      <diagonal/>
    </border>
    <border>
      <left/>
      <right/>
      <top style="double">
        <color indexed="64"/>
      </top>
      <bottom style="double">
        <color indexed="64"/>
      </bottom>
      <diagonal/>
    </border>
    <border>
      <left/>
      <right/>
      <top style="thin">
        <color indexed="64"/>
      </top>
      <bottom style="thick">
        <color indexed="64"/>
      </bottom>
      <diagonal/>
    </border>
    <border>
      <left/>
      <right style="thick">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bottom style="thin">
        <color indexed="64"/>
      </bottom>
      <diagonal/>
    </border>
    <border>
      <left/>
      <right style="thin">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right style="medium">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double">
        <color indexed="64"/>
      </left>
      <right style="double">
        <color indexed="64"/>
      </right>
      <top/>
      <bottom style="medium">
        <color indexed="64"/>
      </bottom>
      <diagonal/>
    </border>
    <border>
      <left style="thin">
        <color indexed="64"/>
      </left>
      <right style="medium">
        <color indexed="64"/>
      </right>
      <top/>
      <bottom style="thin">
        <color indexed="64"/>
      </bottom>
      <diagonal/>
    </border>
    <border>
      <left/>
      <right style="double">
        <color indexed="64"/>
      </right>
      <top style="medium">
        <color indexed="64"/>
      </top>
      <bottom style="thin">
        <color indexed="64"/>
      </bottom>
      <diagonal/>
    </border>
    <border>
      <left style="thin">
        <color indexed="64"/>
      </left>
      <right/>
      <top/>
      <bottom style="medium">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style="medium">
        <color indexed="64"/>
      </left>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style="thick">
        <color indexed="64"/>
      </bottom>
      <diagonal/>
    </border>
    <border>
      <left style="thick">
        <color indexed="64"/>
      </left>
      <right/>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right/>
      <top/>
      <bottom style="medium">
        <color theme="4" tint="0.39997558519241921"/>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double">
        <color indexed="64"/>
      </left>
      <right/>
      <top style="double">
        <color indexed="64"/>
      </top>
      <bottom style="double">
        <color indexed="64"/>
      </bottom>
      <diagonal/>
    </border>
    <border>
      <left/>
      <right style="medium">
        <color indexed="64"/>
      </right>
      <top/>
      <bottom style="double">
        <color indexed="64"/>
      </bottom>
      <diagonal/>
    </border>
    <border>
      <left style="thin">
        <color indexed="64"/>
      </left>
      <right style="thin">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
      <left/>
      <right style="medium">
        <color indexed="64"/>
      </right>
      <top style="thin">
        <color indexed="64"/>
      </top>
      <bottom/>
      <diagonal/>
    </border>
    <border>
      <left style="thin">
        <color auto="1"/>
      </left>
      <right style="thin">
        <color auto="1"/>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double">
        <color indexed="64"/>
      </top>
      <bottom style="thin">
        <color indexed="64"/>
      </bottom>
      <diagonal/>
    </border>
    <border>
      <left style="double">
        <color indexed="64"/>
      </left>
      <right/>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thick">
        <color indexed="64"/>
      </right>
      <top/>
      <bottom style="thick">
        <color indexed="64"/>
      </bottom>
      <diagonal/>
    </border>
    <border>
      <left/>
      <right style="thin">
        <color auto="1"/>
      </right>
      <top style="thin">
        <color auto="1"/>
      </top>
      <bottom style="medium">
        <color indexed="64"/>
      </bottom>
      <diagonal/>
    </border>
    <border>
      <left/>
      <right style="double">
        <color indexed="64"/>
      </right>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thin">
        <color indexed="64"/>
      </top>
      <bottom/>
      <diagonal/>
    </border>
    <border>
      <left style="medium">
        <color indexed="64"/>
      </left>
      <right style="medium">
        <color indexed="64"/>
      </right>
      <top style="thin">
        <color auto="1"/>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s>
  <cellStyleXfs count="4">
    <xf numFmtId="0" fontId="0" fillId="0" borderId="0"/>
    <xf numFmtId="0" fontId="22" fillId="0" borderId="123" applyNumberFormat="0" applyFill="0" applyAlignment="0" applyProtection="0"/>
    <xf numFmtId="0" fontId="23" fillId="0" borderId="0" applyNumberFormat="0" applyFill="0" applyBorder="0" applyAlignment="0" applyProtection="0"/>
    <xf numFmtId="0" fontId="2" fillId="0" borderId="0"/>
  </cellStyleXfs>
  <cellXfs count="1482">
    <xf numFmtId="0" fontId="0" fillId="0" borderId="0" xfId="0"/>
    <xf numFmtId="3" fontId="2" fillId="2" borderId="1" xfId="0" applyNumberFormat="1" applyFont="1" applyFill="1" applyBorder="1" applyProtection="1">
      <protection locked="0"/>
    </xf>
    <xf numFmtId="0" fontId="22" fillId="0" borderId="0" xfId="1" applyBorder="1" applyProtection="1"/>
    <xf numFmtId="0" fontId="0" fillId="0" borderId="0" xfId="0" applyAlignment="1">
      <alignment horizontal="left"/>
    </xf>
    <xf numFmtId="0" fontId="24" fillId="0" borderId="0" xfId="0" applyFont="1"/>
    <xf numFmtId="0" fontId="0" fillId="8" borderId="0" xfId="0" applyFill="1"/>
    <xf numFmtId="4" fontId="0" fillId="8" borderId="0" xfId="0" applyNumberFormat="1" applyFill="1"/>
    <xf numFmtId="0" fontId="2" fillId="8" borderId="0" xfId="0" applyFont="1" applyFill="1"/>
    <xf numFmtId="0" fontId="2" fillId="8" borderId="0" xfId="0" applyFont="1" applyFill="1" applyAlignment="1">
      <alignment horizontal="left" indent="2"/>
    </xf>
    <xf numFmtId="0" fontId="0" fillId="8" borderId="0" xfId="0" applyFill="1" applyProtection="1">
      <protection locked="0"/>
    </xf>
    <xf numFmtId="0" fontId="4" fillId="8" borderId="0" xfId="0" applyFont="1" applyFill="1" applyAlignment="1">
      <alignment horizontal="right"/>
    </xf>
    <xf numFmtId="0" fontId="22" fillId="8" borderId="0" xfId="1" applyFill="1" applyBorder="1" applyProtection="1"/>
    <xf numFmtId="0" fontId="0" fillId="8" borderId="0" xfId="0" applyFill="1" applyAlignment="1">
      <alignment horizontal="left"/>
    </xf>
    <xf numFmtId="0" fontId="24" fillId="3" borderId="6"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left" vertical="center" indent="5"/>
    </xf>
    <xf numFmtId="0" fontId="25" fillId="8" borderId="0" xfId="0" applyFont="1" applyFill="1"/>
    <xf numFmtId="3" fontId="25" fillId="8" borderId="0" xfId="0" applyNumberFormat="1" applyFont="1" applyFill="1"/>
    <xf numFmtId="0" fontId="24" fillId="8" borderId="0" xfId="0" applyFont="1" applyFill="1"/>
    <xf numFmtId="0" fontId="31" fillId="0" borderId="0" xfId="0" applyFont="1" applyAlignment="1">
      <alignment horizontal="left" vertical="center" indent="5"/>
    </xf>
    <xf numFmtId="0" fontId="31" fillId="0" borderId="0" xfId="0" applyFont="1" applyAlignment="1">
      <alignment horizontal="left" vertical="center" indent="8"/>
    </xf>
    <xf numFmtId="0" fontId="0" fillId="0" borderId="0" xfId="0" applyAlignment="1">
      <alignment vertical="center"/>
    </xf>
    <xf numFmtId="0" fontId="0" fillId="0" borderId="0" xfId="0" applyAlignment="1">
      <alignment vertical="center" wrapText="1"/>
    </xf>
    <xf numFmtId="0" fontId="0" fillId="0" borderId="1" xfId="0" applyBorder="1"/>
    <xf numFmtId="38" fontId="0" fillId="0" borderId="1" xfId="0" applyNumberFormat="1" applyBorder="1"/>
    <xf numFmtId="0" fontId="0" fillId="0" borderId="8" xfId="0" applyBorder="1"/>
    <xf numFmtId="0" fontId="0" fillId="8" borderId="9" xfId="0" applyFill="1" applyBorder="1"/>
    <xf numFmtId="0" fontId="0" fillId="8" borderId="10" xfId="0" applyFill="1" applyBorder="1"/>
    <xf numFmtId="3" fontId="0" fillId="8" borderId="0" xfId="0" applyNumberFormat="1" applyFill="1"/>
    <xf numFmtId="0" fontId="0" fillId="0" borderId="0" xfId="0" applyAlignment="1">
      <alignment horizontal="right"/>
    </xf>
    <xf numFmtId="0" fontId="2" fillId="0" borderId="0" xfId="0" applyFont="1"/>
    <xf numFmtId="0" fontId="4" fillId="0" borderId="0" xfId="0" applyFont="1"/>
    <xf numFmtId="0" fontId="4" fillId="0" borderId="0" xfId="0" applyFont="1" applyAlignment="1">
      <alignment horizontal="right"/>
    </xf>
    <xf numFmtId="0" fontId="2" fillId="0" borderId="0" xfId="0" applyFont="1" applyAlignment="1">
      <alignment horizontal="right"/>
    </xf>
    <xf numFmtId="0" fontId="32" fillId="0" borderId="0" xfId="0" applyFont="1"/>
    <xf numFmtId="0" fontId="4" fillId="0" borderId="0" xfId="0" applyFont="1" applyAlignment="1">
      <alignment vertical="center"/>
    </xf>
    <xf numFmtId="0" fontId="0" fillId="9" borderId="0" xfId="0" applyFill="1"/>
    <xf numFmtId="0" fontId="4" fillId="0" borderId="11" xfId="0" applyFont="1" applyBorder="1" applyAlignment="1">
      <alignment vertical="center"/>
    </xf>
    <xf numFmtId="0" fontId="4" fillId="0" borderId="12" xfId="0" applyFont="1" applyBorder="1" applyAlignment="1">
      <alignment vertical="center"/>
    </xf>
    <xf numFmtId="0" fontId="4" fillId="4" borderId="13"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4" xfId="0" applyFont="1" applyFill="1" applyBorder="1" applyAlignment="1">
      <alignment horizontal="center" vertical="center"/>
    </xf>
    <xf numFmtId="1" fontId="4" fillId="4" borderId="10" xfId="0" applyNumberFormat="1" applyFont="1" applyFill="1" applyBorder="1" applyAlignment="1">
      <alignment horizontal="center" vertical="center"/>
    </xf>
    <xf numFmtId="1" fontId="4" fillId="5" borderId="15" xfId="0" applyNumberFormat="1" applyFont="1" applyFill="1" applyBorder="1" applyAlignment="1">
      <alignment horizontal="center" vertical="center"/>
    </xf>
    <xf numFmtId="1" fontId="4" fillId="6" borderId="12" xfId="0" applyNumberFormat="1" applyFont="1" applyFill="1" applyBorder="1" applyAlignment="1">
      <alignment horizontal="center" vertical="center"/>
    </xf>
    <xf numFmtId="0" fontId="4" fillId="4" borderId="9" xfId="0" applyFont="1" applyFill="1" applyBorder="1" applyAlignment="1">
      <alignment horizontal="center" vertical="center"/>
    </xf>
    <xf numFmtId="0" fontId="4" fillId="5" borderId="8" xfId="0" applyFont="1" applyFill="1" applyBorder="1" applyAlignment="1">
      <alignment horizontal="center" vertical="center"/>
    </xf>
    <xf numFmtId="0" fontId="4" fillId="6" borderId="16" xfId="0" applyFont="1" applyFill="1" applyBorder="1" applyAlignment="1">
      <alignment horizontal="center" vertical="center"/>
    </xf>
    <xf numFmtId="0" fontId="2" fillId="0" borderId="0" xfId="0" applyFont="1" applyAlignment="1">
      <alignment vertical="center"/>
    </xf>
    <xf numFmtId="0" fontId="4" fillId="4" borderId="10" xfId="0" applyFont="1" applyFill="1" applyBorder="1" applyAlignment="1">
      <alignment horizontal="center" vertical="center"/>
    </xf>
    <xf numFmtId="0" fontId="4" fillId="5" borderId="15" xfId="0" applyFont="1" applyFill="1" applyBorder="1" applyAlignment="1">
      <alignment horizontal="center" vertical="center"/>
    </xf>
    <xf numFmtId="0" fontId="4" fillId="6" borderId="12" xfId="0" applyFont="1" applyFill="1" applyBorder="1" applyAlignment="1">
      <alignment horizontal="center" vertical="center"/>
    </xf>
    <xf numFmtId="0" fontId="2" fillId="0" borderId="0" xfId="3"/>
    <xf numFmtId="0" fontId="0" fillId="8" borderId="0" xfId="0" applyFill="1" applyAlignment="1">
      <alignment horizontal="right"/>
    </xf>
    <xf numFmtId="3" fontId="0" fillId="8" borderId="0" xfId="0" applyNumberFormat="1" applyFill="1" applyAlignment="1">
      <alignment horizontal="right"/>
    </xf>
    <xf numFmtId="9" fontId="0" fillId="8" borderId="0" xfId="0" applyNumberFormat="1" applyFill="1" applyAlignment="1">
      <alignment horizontal="right"/>
    </xf>
    <xf numFmtId="0" fontId="4" fillId="0" borderId="0" xfId="0" applyFont="1" applyAlignment="1">
      <alignment horizontal="center" vertical="center"/>
    </xf>
    <xf numFmtId="0" fontId="33" fillId="8" borderId="17" xfId="0" applyFont="1" applyFill="1" applyBorder="1" applyAlignment="1">
      <alignment horizontal="center"/>
    </xf>
    <xf numFmtId="0" fontId="34" fillId="0" borderId="18" xfId="0" applyFont="1" applyBorder="1" applyAlignment="1">
      <alignment horizontal="center"/>
    </xf>
    <xf numFmtId="0" fontId="34" fillId="0" borderId="19" xfId="0" applyFont="1" applyBorder="1" applyAlignment="1">
      <alignment horizontal="center"/>
    </xf>
    <xf numFmtId="0" fontId="35" fillId="0" borderId="19" xfId="0" applyFont="1" applyBorder="1" applyAlignment="1">
      <alignment horizontal="center"/>
    </xf>
    <xf numFmtId="0" fontId="35" fillId="0" borderId="13" xfId="0" applyFont="1" applyBorder="1" applyAlignment="1">
      <alignment horizontal="center"/>
    </xf>
    <xf numFmtId="0" fontId="34" fillId="8" borderId="0" xfId="0" applyFont="1" applyFill="1"/>
    <xf numFmtId="3" fontId="4" fillId="0" borderId="1" xfId="0" applyNumberFormat="1" applyFont="1" applyBorder="1"/>
    <xf numFmtId="1" fontId="4" fillId="0" borderId="1" xfId="0" applyNumberFormat="1" applyFont="1" applyBorder="1" applyAlignment="1">
      <alignment vertical="center"/>
    </xf>
    <xf numFmtId="3" fontId="4" fillId="0" borderId="1" xfId="0" applyNumberFormat="1" applyFont="1" applyBorder="1" applyProtection="1">
      <protection locked="0"/>
    </xf>
    <xf numFmtId="1" fontId="25" fillId="8" borderId="0" xfId="0" applyNumberFormat="1" applyFont="1" applyFill="1"/>
    <xf numFmtId="0" fontId="4" fillId="4" borderId="1" xfId="0" applyFont="1" applyFill="1" applyBorder="1" applyAlignment="1">
      <alignment horizontal="center" vertical="center"/>
    </xf>
    <xf numFmtId="1" fontId="4" fillId="4" borderId="15" xfId="0" applyNumberFormat="1" applyFont="1" applyFill="1" applyBorder="1" applyAlignment="1">
      <alignment horizontal="center" vertical="center"/>
    </xf>
    <xf numFmtId="0" fontId="4" fillId="4" borderId="8" xfId="0" applyFont="1" applyFill="1" applyBorder="1" applyAlignment="1">
      <alignment horizontal="center" vertical="center"/>
    </xf>
    <xf numFmtId="0" fontId="4" fillId="4" borderId="15" xfId="0" applyFont="1" applyFill="1" applyBorder="1" applyAlignment="1">
      <alignment horizontal="center" vertical="center"/>
    </xf>
    <xf numFmtId="0" fontId="34" fillId="0" borderId="13" xfId="0" applyFont="1" applyBorder="1" applyAlignment="1">
      <alignment horizontal="center"/>
    </xf>
    <xf numFmtId="3" fontId="24" fillId="10" borderId="1" xfId="0" applyNumberFormat="1" applyFont="1" applyFill="1" applyBorder="1" applyAlignment="1">
      <alignment horizontal="left"/>
    </xf>
    <xf numFmtId="0" fontId="36" fillId="0" borderId="0" xfId="0" applyFont="1"/>
    <xf numFmtId="0" fontId="2" fillId="0" borderId="15" xfId="0" applyFont="1" applyBorder="1"/>
    <xf numFmtId="0" fontId="33" fillId="8" borderId="22" xfId="0" applyFont="1" applyFill="1" applyBorder="1" applyAlignment="1">
      <alignment horizontal="center"/>
    </xf>
    <xf numFmtId="3" fontId="0" fillId="0" borderId="0" xfId="0" applyNumberFormat="1" applyAlignment="1" applyProtection="1">
      <alignment horizontal="left"/>
      <protection locked="0"/>
    </xf>
    <xf numFmtId="0" fontId="33" fillId="8" borderId="0" xfId="0" applyFont="1" applyFill="1"/>
    <xf numFmtId="0" fontId="37" fillId="0" borderId="0" xfId="0" applyFont="1"/>
    <xf numFmtId="0" fontId="38" fillId="0" borderId="0" xfId="0" applyFont="1"/>
    <xf numFmtId="0" fontId="39" fillId="0" borderId="0" xfId="0" applyFont="1"/>
    <xf numFmtId="2" fontId="40" fillId="0" borderId="0" xfId="0" applyNumberFormat="1" applyFont="1"/>
    <xf numFmtId="0" fontId="41" fillId="0" borderId="0" xfId="0" applyFont="1"/>
    <xf numFmtId="0" fontId="42" fillId="0" borderId="0" xfId="0" applyFont="1"/>
    <xf numFmtId="0" fontId="26" fillId="0" borderId="0" xfId="0" applyFont="1"/>
    <xf numFmtId="0" fontId="43" fillId="0" borderId="0" xfId="0" applyFont="1"/>
    <xf numFmtId="0" fontId="43" fillId="0" borderId="0" xfId="0" applyFont="1" applyAlignment="1">
      <alignment horizontal="right"/>
    </xf>
    <xf numFmtId="2" fontId="26" fillId="0" borderId="0" xfId="0" applyNumberFormat="1" applyFont="1"/>
    <xf numFmtId="0" fontId="26" fillId="0" borderId="26" xfId="0" applyFont="1" applyBorder="1"/>
    <xf numFmtId="2" fontId="26" fillId="0" borderId="26" xfId="0" applyNumberFormat="1" applyFont="1" applyBorder="1"/>
    <xf numFmtId="0" fontId="26" fillId="0" borderId="0" xfId="0" applyFont="1" applyAlignment="1">
      <alignment horizontal="right"/>
    </xf>
    <xf numFmtId="2" fontId="34" fillId="11" borderId="6" xfId="0" applyNumberFormat="1" applyFont="1" applyFill="1" applyBorder="1"/>
    <xf numFmtId="0" fontId="44" fillId="0" borderId="0" xfId="0" applyFont="1"/>
    <xf numFmtId="0" fontId="2" fillId="0" borderId="21" xfId="0" applyFont="1" applyBorder="1"/>
    <xf numFmtId="0" fontId="0" fillId="8" borderId="27" xfId="0" applyFill="1" applyBorder="1"/>
    <xf numFmtId="0" fontId="0" fillId="8" borderId="28" xfId="0" applyFill="1" applyBorder="1"/>
    <xf numFmtId="0" fontId="0" fillId="8" borderId="26" xfId="0" applyFill="1" applyBorder="1"/>
    <xf numFmtId="0" fontId="0" fillId="8" borderId="30" xfId="0" applyFill="1" applyBorder="1"/>
    <xf numFmtId="2" fontId="21" fillId="11" borderId="31" xfId="0" applyNumberFormat="1" applyFont="1" applyFill="1" applyBorder="1"/>
    <xf numFmtId="0" fontId="21" fillId="0" borderId="0" xfId="0" applyFont="1"/>
    <xf numFmtId="2" fontId="21" fillId="11" borderId="6" xfId="0" applyNumberFormat="1" applyFont="1" applyFill="1" applyBorder="1"/>
    <xf numFmtId="2" fontId="34" fillId="11" borderId="31" xfId="0" applyNumberFormat="1" applyFont="1" applyFill="1" applyBorder="1"/>
    <xf numFmtId="0" fontId="24" fillId="8" borderId="26" xfId="0" applyFont="1" applyFill="1" applyBorder="1"/>
    <xf numFmtId="3" fontId="0" fillId="2" borderId="1" xfId="0" applyNumberFormat="1" applyFill="1" applyBorder="1" applyAlignment="1" applyProtection="1">
      <alignment horizontal="center"/>
      <protection locked="0"/>
    </xf>
    <xf numFmtId="1" fontId="0" fillId="11" borderId="6" xfId="0" applyNumberFormat="1" applyFill="1" applyBorder="1" applyAlignment="1">
      <alignment horizontal="center"/>
    </xf>
    <xf numFmtId="3" fontId="0" fillId="2" borderId="15" xfId="0" applyNumberFormat="1" applyFill="1" applyBorder="1" applyAlignment="1" applyProtection="1">
      <alignment horizontal="center"/>
      <protection locked="0"/>
    </xf>
    <xf numFmtId="0" fontId="0" fillId="9" borderId="6" xfId="0" applyFill="1" applyBorder="1" applyAlignment="1">
      <alignment horizontal="center"/>
    </xf>
    <xf numFmtId="2" fontId="0" fillId="11" borderId="6" xfId="0" applyNumberFormat="1" applyFill="1" applyBorder="1" applyAlignment="1">
      <alignment horizontal="center"/>
    </xf>
    <xf numFmtId="0" fontId="0" fillId="11" borderId="6" xfId="0" applyFill="1" applyBorder="1" applyAlignment="1">
      <alignment horizontal="center"/>
    </xf>
    <xf numFmtId="3" fontId="34" fillId="9" borderId="1" xfId="0" applyNumberFormat="1" applyFont="1" applyFill="1" applyBorder="1" applyAlignment="1">
      <alignment horizontal="center"/>
    </xf>
    <xf numFmtId="3" fontId="0" fillId="2" borderId="33" xfId="0" applyNumberFormat="1" applyFill="1" applyBorder="1" applyAlignment="1" applyProtection="1">
      <alignment horizontal="center"/>
      <protection locked="0"/>
    </xf>
    <xf numFmtId="3" fontId="34" fillId="9" borderId="4" xfId="0" applyNumberFormat="1" applyFont="1" applyFill="1" applyBorder="1" applyAlignment="1">
      <alignment horizontal="center"/>
    </xf>
    <xf numFmtId="3" fontId="4" fillId="9" borderId="1" xfId="0" applyNumberFormat="1" applyFont="1" applyFill="1" applyBorder="1" applyAlignment="1">
      <alignment horizontal="center"/>
    </xf>
    <xf numFmtId="0" fontId="34" fillId="9" borderId="1" xfId="0" quotePrefix="1" applyFont="1" applyFill="1" applyBorder="1" applyAlignment="1">
      <alignment horizontal="center"/>
    </xf>
    <xf numFmtId="3" fontId="34" fillId="9" borderId="33" xfId="0" applyNumberFormat="1" applyFont="1" applyFill="1" applyBorder="1" applyAlignment="1">
      <alignment horizontal="center"/>
    </xf>
    <xf numFmtId="0" fontId="34" fillId="9" borderId="14" xfId="0" applyFont="1" applyFill="1" applyBorder="1" applyAlignment="1">
      <alignment horizontal="center"/>
    </xf>
    <xf numFmtId="3" fontId="2" fillId="2" borderId="12" xfId="0" applyNumberFormat="1" applyFont="1" applyFill="1" applyBorder="1" applyAlignment="1" applyProtection="1">
      <alignment horizontal="center"/>
      <protection locked="0"/>
    </xf>
    <xf numFmtId="0" fontId="34" fillId="9" borderId="34" xfId="0" applyFont="1" applyFill="1" applyBorder="1" applyAlignment="1">
      <alignment horizontal="center"/>
    </xf>
    <xf numFmtId="38" fontId="4" fillId="9" borderId="1" xfId="0" applyNumberFormat="1" applyFont="1" applyFill="1" applyBorder="1" applyAlignment="1">
      <alignment horizontal="center"/>
    </xf>
    <xf numFmtId="38" fontId="4" fillId="9" borderId="35" xfId="0" applyNumberFormat="1" applyFont="1" applyFill="1" applyBorder="1" applyAlignment="1">
      <alignment horizontal="center"/>
    </xf>
    <xf numFmtId="0" fontId="0" fillId="14" borderId="1" xfId="0" applyFill="1" applyBorder="1" applyAlignment="1">
      <alignment horizontal="center"/>
    </xf>
    <xf numFmtId="0" fontId="45" fillId="9" borderId="36" xfId="0" applyFont="1" applyFill="1" applyBorder="1" applyAlignment="1">
      <alignment horizontal="center" vertical="center"/>
    </xf>
    <xf numFmtId="38" fontId="45" fillId="9" borderId="1" xfId="0" applyNumberFormat="1" applyFont="1" applyFill="1" applyBorder="1" applyAlignment="1">
      <alignment horizontal="center" vertical="center"/>
    </xf>
    <xf numFmtId="0" fontId="46" fillId="0" borderId="15" xfId="0" applyFont="1" applyBorder="1" applyAlignment="1">
      <alignment horizontal="center" vertical="center" wrapText="1"/>
    </xf>
    <xf numFmtId="0" fontId="27" fillId="0" borderId="1" xfId="1" applyFont="1" applyBorder="1" applyAlignment="1" applyProtection="1">
      <alignment horizontal="center"/>
    </xf>
    <xf numFmtId="0" fontId="26" fillId="7" borderId="0" xfId="0" applyFont="1" applyFill="1" applyAlignment="1" applyProtection="1">
      <alignment horizontal="center"/>
      <protection locked="0"/>
    </xf>
    <xf numFmtId="0" fontId="0" fillId="0" borderId="0" xfId="0" applyAlignment="1">
      <alignment horizontal="center"/>
    </xf>
    <xf numFmtId="0" fontId="26" fillId="0" borderId="0" xfId="0" applyFont="1" applyAlignment="1">
      <alignment horizontal="center"/>
    </xf>
    <xf numFmtId="0" fontId="26" fillId="0" borderId="26" xfId="0" applyFont="1" applyBorder="1" applyAlignment="1">
      <alignment horizontal="center"/>
    </xf>
    <xf numFmtId="0" fontId="21" fillId="0" borderId="0" xfId="0" applyFont="1" applyAlignment="1">
      <alignment horizontal="center"/>
    </xf>
    <xf numFmtId="0" fontId="37" fillId="0" borderId="0" xfId="0" applyFont="1" applyAlignment="1">
      <alignment horizontal="center"/>
    </xf>
    <xf numFmtId="0" fontId="43" fillId="0" borderId="0" xfId="0" applyFont="1" applyAlignment="1">
      <alignment horizontal="center"/>
    </xf>
    <xf numFmtId="2" fontId="26" fillId="0" borderId="16" xfId="0" applyNumberFormat="1" applyFont="1" applyBorder="1" applyAlignment="1">
      <alignment horizontal="center"/>
    </xf>
    <xf numFmtId="2" fontId="26" fillId="0" borderId="37" xfId="0" applyNumberFormat="1" applyFont="1" applyBorder="1" applyAlignment="1">
      <alignment horizontal="center"/>
    </xf>
    <xf numFmtId="0" fontId="34" fillId="0" borderId="38" xfId="0" applyFont="1" applyBorder="1" applyAlignment="1">
      <alignment horizontal="center"/>
    </xf>
    <xf numFmtId="0" fontId="34" fillId="0" borderId="16" xfId="0" applyFont="1" applyBorder="1" applyAlignment="1">
      <alignment horizontal="center"/>
    </xf>
    <xf numFmtId="0" fontId="35" fillId="0" borderId="39" xfId="0" applyFont="1" applyBorder="1" applyAlignment="1">
      <alignment horizontal="center"/>
    </xf>
    <xf numFmtId="0" fontId="24" fillId="0" borderId="1" xfId="0" applyFont="1" applyBorder="1" applyProtection="1">
      <protection locked="0"/>
    </xf>
    <xf numFmtId="0" fontId="47" fillId="0" borderId="0" xfId="0" applyFont="1"/>
    <xf numFmtId="1" fontId="0" fillId="9" borderId="31" xfId="0" applyNumberFormat="1" applyFill="1" applyBorder="1" applyAlignment="1">
      <alignment horizontal="center"/>
    </xf>
    <xf numFmtId="1" fontId="0" fillId="9" borderId="6" xfId="0" applyNumberFormat="1" applyFill="1" applyBorder="1" applyAlignment="1">
      <alignment horizontal="center"/>
    </xf>
    <xf numFmtId="1" fontId="24" fillId="11" borderId="31" xfId="0" applyNumberFormat="1" applyFont="1" applyFill="1" applyBorder="1" applyAlignment="1">
      <alignment horizontal="center"/>
    </xf>
    <xf numFmtId="0" fontId="46" fillId="0" borderId="41" xfId="0" applyFont="1" applyBorder="1" applyAlignment="1">
      <alignment horizontal="center" vertical="center" wrapText="1"/>
    </xf>
    <xf numFmtId="0" fontId="0" fillId="8" borderId="42" xfId="0" applyFill="1" applyBorder="1"/>
    <xf numFmtId="0" fontId="0" fillId="8" borderId="43" xfId="0" applyFill="1" applyBorder="1"/>
    <xf numFmtId="0" fontId="0" fillId="8" borderId="45" xfId="0" applyFill="1" applyBorder="1"/>
    <xf numFmtId="0" fontId="27" fillId="0" borderId="21" xfId="1" applyFont="1" applyBorder="1" applyAlignment="1" applyProtection="1">
      <alignment horizontal="center"/>
    </xf>
    <xf numFmtId="38" fontId="6" fillId="12" borderId="21" xfId="0" applyNumberFormat="1" applyFont="1" applyFill="1" applyBorder="1" applyAlignment="1">
      <alignment horizontal="center"/>
    </xf>
    <xf numFmtId="0" fontId="45" fillId="9" borderId="47" xfId="0" applyFont="1" applyFill="1" applyBorder="1" applyAlignment="1">
      <alignment horizontal="center" vertical="center"/>
    </xf>
    <xf numFmtId="38" fontId="45" fillId="9" borderId="47" xfId="0" applyNumberFormat="1" applyFont="1" applyFill="1" applyBorder="1" applyAlignment="1">
      <alignment horizontal="center" vertical="center"/>
    </xf>
    <xf numFmtId="0" fontId="27" fillId="0" borderId="41" xfId="1" applyFont="1" applyBorder="1" applyAlignment="1" applyProtection="1">
      <alignment horizontal="center" wrapText="1"/>
    </xf>
    <xf numFmtId="0" fontId="27" fillId="0" borderId="48" xfId="1" applyFont="1" applyBorder="1" applyAlignment="1" applyProtection="1">
      <alignment horizontal="center"/>
    </xf>
    <xf numFmtId="2" fontId="31" fillId="0" borderId="0" xfId="0" applyNumberFormat="1" applyFont="1" applyAlignment="1">
      <alignment horizontal="left" vertical="center" indent="5"/>
    </xf>
    <xf numFmtId="0" fontId="0" fillId="0" borderId="51" xfId="0" applyBorder="1"/>
    <xf numFmtId="3" fontId="24" fillId="0" borderId="27" xfId="0" applyNumberFormat="1" applyFont="1" applyBorder="1" applyAlignment="1">
      <alignment horizontal="center"/>
    </xf>
    <xf numFmtId="1" fontId="0" fillId="16" borderId="6" xfId="0" applyNumberFormat="1" applyFill="1" applyBorder="1" applyAlignment="1">
      <alignment horizontal="center"/>
    </xf>
    <xf numFmtId="0" fontId="27" fillId="0" borderId="15" xfId="1" applyFont="1" applyBorder="1" applyAlignment="1" applyProtection="1">
      <alignment horizontal="center"/>
    </xf>
    <xf numFmtId="38" fontId="6" fillId="12" borderId="57" xfId="0" applyNumberFormat="1" applyFont="1" applyFill="1" applyBorder="1" applyAlignment="1">
      <alignment horizontal="center"/>
    </xf>
    <xf numFmtId="0" fontId="48" fillId="0" borderId="59" xfId="0" applyFont="1" applyBorder="1" applyAlignment="1">
      <alignment horizontal="center" vertical="center" wrapText="1"/>
    </xf>
    <xf numFmtId="1" fontId="24" fillId="11" borderId="6" xfId="0" applyNumberFormat="1" applyFont="1" applyFill="1" applyBorder="1" applyAlignment="1">
      <alignment horizontal="center"/>
    </xf>
    <xf numFmtId="1" fontId="24" fillId="17" borderId="6" xfId="0" applyNumberFormat="1" applyFont="1" applyFill="1" applyBorder="1" applyAlignment="1">
      <alignment horizontal="center"/>
    </xf>
    <xf numFmtId="0" fontId="5" fillId="8" borderId="60" xfId="0" applyFont="1" applyFill="1" applyBorder="1" applyAlignment="1">
      <alignment horizontal="left"/>
    </xf>
    <xf numFmtId="0" fontId="0" fillId="8" borderId="61" xfId="0" applyFill="1" applyBorder="1" applyAlignment="1">
      <alignment horizontal="left"/>
    </xf>
    <xf numFmtId="0" fontId="0" fillId="8" borderId="61" xfId="0" applyFill="1" applyBorder="1"/>
    <xf numFmtId="0" fontId="24" fillId="8" borderId="28" xfId="0" applyFont="1" applyFill="1" applyBorder="1"/>
    <xf numFmtId="0" fontId="24" fillId="0" borderId="50" xfId="0" applyFont="1" applyBorder="1" applyAlignment="1">
      <alignment horizontal="right"/>
    </xf>
    <xf numFmtId="0" fontId="0" fillId="8" borderId="12" xfId="0" applyFill="1" applyBorder="1"/>
    <xf numFmtId="0" fontId="0" fillId="8" borderId="16" xfId="0" applyFill="1" applyBorder="1"/>
    <xf numFmtId="0" fontId="22" fillId="8" borderId="9" xfId="1" applyFill="1" applyBorder="1" applyProtection="1"/>
    <xf numFmtId="0" fontId="0" fillId="8" borderId="13" xfId="0" applyFill="1" applyBorder="1"/>
    <xf numFmtId="0" fontId="0" fillId="8" borderId="14" xfId="0" applyFill="1" applyBorder="1"/>
    <xf numFmtId="0" fontId="0" fillId="0" borderId="66" xfId="0" applyBorder="1"/>
    <xf numFmtId="0" fontId="0" fillId="8" borderId="67" xfId="0" applyFill="1" applyBorder="1" applyAlignment="1">
      <alignment horizontal="left"/>
    </xf>
    <xf numFmtId="3" fontId="24" fillId="3" borderId="68" xfId="0" applyNumberFormat="1" applyFont="1" applyFill="1" applyBorder="1" applyAlignment="1">
      <alignment horizontal="center"/>
    </xf>
    <xf numFmtId="3" fontId="24" fillId="3" borderId="69" xfId="0" applyNumberFormat="1" applyFont="1" applyFill="1" applyBorder="1" applyAlignment="1">
      <alignment horizontal="center"/>
    </xf>
    <xf numFmtId="3" fontId="24" fillId="11" borderId="69" xfId="0" applyNumberFormat="1" applyFont="1" applyFill="1" applyBorder="1" applyAlignment="1">
      <alignment horizontal="center"/>
    </xf>
    <xf numFmtId="0" fontId="0" fillId="0" borderId="61" xfId="0" applyBorder="1" applyAlignment="1">
      <alignment horizontal="left"/>
    </xf>
    <xf numFmtId="0" fontId="24" fillId="11" borderId="70" xfId="0" applyFont="1" applyFill="1" applyBorder="1" applyAlignment="1">
      <alignment horizontal="center"/>
    </xf>
    <xf numFmtId="0" fontId="0" fillId="0" borderId="71" xfId="0" applyBorder="1"/>
    <xf numFmtId="2" fontId="0" fillId="9" borderId="6" xfId="0" applyNumberFormat="1" applyFill="1" applyBorder="1" applyAlignment="1">
      <alignment horizontal="center"/>
    </xf>
    <xf numFmtId="0" fontId="0" fillId="0" borderId="41" xfId="0" applyBorder="1"/>
    <xf numFmtId="0" fontId="0" fillId="0" borderId="43" xfId="0" applyBorder="1"/>
    <xf numFmtId="0" fontId="24" fillId="8" borderId="73" xfId="0" applyFont="1" applyFill="1" applyBorder="1" applyAlignment="1">
      <alignment horizontal="center"/>
    </xf>
    <xf numFmtId="0" fontId="24" fillId="8" borderId="39" xfId="0" applyFont="1" applyFill="1" applyBorder="1" applyAlignment="1">
      <alignment horizontal="center"/>
    </xf>
    <xf numFmtId="0" fontId="35" fillId="0" borderId="74" xfId="0" applyFont="1" applyBorder="1" applyAlignment="1">
      <alignment horizontal="center"/>
    </xf>
    <xf numFmtId="3" fontId="24" fillId="10" borderId="1" xfId="0" applyNumberFormat="1" applyFont="1" applyFill="1" applyBorder="1" applyAlignment="1">
      <alignment horizontal="center"/>
    </xf>
    <xf numFmtId="0" fontId="34" fillId="8" borderId="0" xfId="0" applyFont="1" applyFill="1" applyAlignment="1">
      <alignment horizontal="right"/>
    </xf>
    <xf numFmtId="0" fontId="24" fillId="11" borderId="75" xfId="0" applyFont="1" applyFill="1" applyBorder="1" applyAlignment="1">
      <alignment horizontal="center"/>
    </xf>
    <xf numFmtId="0" fontId="24" fillId="0" borderId="1" xfId="0" applyFont="1" applyBorder="1"/>
    <xf numFmtId="0" fontId="26" fillId="0" borderId="55" xfId="0" applyFont="1" applyBorder="1" applyAlignment="1">
      <alignment horizontal="right"/>
    </xf>
    <xf numFmtId="0" fontId="35" fillId="0" borderId="14" xfId="0" applyFont="1" applyBorder="1" applyAlignment="1">
      <alignment horizontal="center"/>
    </xf>
    <xf numFmtId="0" fontId="34" fillId="0" borderId="14" xfId="0" applyFont="1" applyBorder="1" applyAlignment="1">
      <alignment horizontal="center"/>
    </xf>
    <xf numFmtId="1" fontId="0" fillId="9" borderId="69" xfId="0" applyNumberFormat="1" applyFill="1" applyBorder="1" applyAlignment="1">
      <alignment horizontal="center"/>
    </xf>
    <xf numFmtId="1" fontId="0" fillId="16" borderId="69" xfId="0" applyNumberFormat="1" applyFill="1" applyBorder="1" applyAlignment="1">
      <alignment horizontal="center"/>
    </xf>
    <xf numFmtId="1" fontId="0" fillId="0" borderId="0" xfId="0" applyNumberFormat="1" applyAlignment="1">
      <alignment horizontal="center"/>
    </xf>
    <xf numFmtId="0" fontId="0" fillId="0" borderId="76" xfId="0" applyBorder="1" applyAlignment="1">
      <alignment vertical="center"/>
    </xf>
    <xf numFmtId="3" fontId="24" fillId="10" borderId="35" xfId="0" applyNumberFormat="1" applyFont="1" applyFill="1" applyBorder="1" applyAlignment="1">
      <alignment horizontal="left"/>
    </xf>
    <xf numFmtId="0" fontId="0" fillId="0" borderId="76" xfId="0" applyBorder="1"/>
    <xf numFmtId="0" fontId="24" fillId="8" borderId="74" xfId="0" applyFont="1" applyFill="1" applyBorder="1" applyAlignment="1">
      <alignment horizontal="center"/>
    </xf>
    <xf numFmtId="0" fontId="2" fillId="0" borderId="7" xfId="0" applyFont="1" applyBorder="1"/>
    <xf numFmtId="3" fontId="24" fillId="0" borderId="73" xfId="0" applyNumberFormat="1" applyFont="1" applyBorder="1" applyAlignment="1">
      <alignment horizontal="center"/>
    </xf>
    <xf numFmtId="0" fontId="49" fillId="0" borderId="79" xfId="0" applyFont="1" applyBorder="1" applyAlignment="1">
      <alignment horizontal="left"/>
    </xf>
    <xf numFmtId="0" fontId="24" fillId="0" borderId="0" xfId="0" applyFont="1" applyAlignment="1">
      <alignment horizontal="right"/>
    </xf>
    <xf numFmtId="4" fontId="24" fillId="11" borderId="1" xfId="0" applyNumberFormat="1" applyFont="1" applyFill="1" applyBorder="1" applyAlignment="1">
      <alignment horizontal="center"/>
    </xf>
    <xf numFmtId="3" fontId="24" fillId="10" borderId="6" xfId="0" applyNumberFormat="1" applyFont="1" applyFill="1" applyBorder="1" applyAlignment="1">
      <alignment horizontal="center"/>
    </xf>
    <xf numFmtId="3" fontId="24" fillId="10" borderId="31" xfId="0" applyNumberFormat="1" applyFont="1" applyFill="1" applyBorder="1" applyAlignment="1">
      <alignment horizontal="center"/>
    </xf>
    <xf numFmtId="0" fontId="35" fillId="0" borderId="81" xfId="0" applyFont="1" applyBorder="1" applyAlignment="1">
      <alignment horizontal="center"/>
    </xf>
    <xf numFmtId="0" fontId="34" fillId="8" borderId="0" xfId="0" applyFont="1" applyFill="1" applyAlignment="1">
      <alignment horizontal="left"/>
    </xf>
    <xf numFmtId="0" fontId="24" fillId="18" borderId="63" xfId="0" applyFont="1" applyFill="1" applyBorder="1" applyAlignment="1">
      <alignment horizontal="center"/>
    </xf>
    <xf numFmtId="0" fontId="0" fillId="8" borderId="1" xfId="0" applyFill="1" applyBorder="1"/>
    <xf numFmtId="1" fontId="2" fillId="2" borderId="1" xfId="0" applyNumberFormat="1" applyFont="1" applyFill="1" applyBorder="1" applyAlignment="1" applyProtection="1">
      <alignment horizontal="center"/>
      <protection locked="0"/>
    </xf>
    <xf numFmtId="3" fontId="2" fillId="2" borderId="14" xfId="0" applyNumberFormat="1" applyFont="1" applyFill="1" applyBorder="1" applyAlignment="1" applyProtection="1">
      <alignment horizontal="center"/>
      <protection locked="0"/>
    </xf>
    <xf numFmtId="3" fontId="2" fillId="2" borderId="1" xfId="0" applyNumberFormat="1" applyFont="1" applyFill="1" applyBorder="1" applyAlignment="1" applyProtection="1">
      <alignment horizontal="center"/>
      <protection locked="0"/>
    </xf>
    <xf numFmtId="0" fontId="0" fillId="0" borderId="10" xfId="0" applyBorder="1"/>
    <xf numFmtId="0" fontId="0" fillId="0" borderId="11" xfId="0" applyBorder="1"/>
    <xf numFmtId="0" fontId="0" fillId="0" borderId="45" xfId="0" applyBorder="1"/>
    <xf numFmtId="38" fontId="6" fillId="8" borderId="0" xfId="0" applyNumberFormat="1" applyFont="1" applyFill="1" applyAlignment="1">
      <alignment horizontal="center"/>
    </xf>
    <xf numFmtId="38" fontId="6" fillId="8" borderId="0" xfId="0" applyNumberFormat="1" applyFont="1" applyFill="1" applyAlignment="1">
      <alignment horizontal="left"/>
    </xf>
    <xf numFmtId="0" fontId="27" fillId="8" borderId="0" xfId="1" applyFont="1" applyFill="1" applyBorder="1" applyAlignment="1" applyProtection="1">
      <alignment horizontal="center" wrapText="1"/>
    </xf>
    <xf numFmtId="0" fontId="27" fillId="8" borderId="0" xfId="1" applyFont="1" applyFill="1" applyBorder="1" applyAlignment="1" applyProtection="1">
      <alignment horizontal="center"/>
    </xf>
    <xf numFmtId="164" fontId="4" fillId="9" borderId="1" xfId="0" applyNumberFormat="1" applyFont="1" applyFill="1" applyBorder="1" applyAlignment="1">
      <alignment horizontal="center"/>
    </xf>
    <xf numFmtId="0" fontId="24" fillId="8" borderId="76" xfId="0" applyFont="1" applyFill="1" applyBorder="1"/>
    <xf numFmtId="0" fontId="0" fillId="8" borderId="76" xfId="0" applyFill="1" applyBorder="1"/>
    <xf numFmtId="0" fontId="0" fillId="8" borderId="128" xfId="0" applyFill="1" applyBorder="1"/>
    <xf numFmtId="0" fontId="59" fillId="0" borderId="50" xfId="0" applyFont="1" applyBorder="1" applyAlignment="1">
      <alignment vertical="center" wrapText="1"/>
    </xf>
    <xf numFmtId="0" fontId="58" fillId="0" borderId="40" xfId="1" applyFont="1" applyBorder="1" applyAlignment="1" applyProtection="1">
      <alignment horizontal="left" wrapText="1"/>
    </xf>
    <xf numFmtId="0" fontId="59" fillId="0" borderId="40" xfId="0" applyFont="1" applyBorder="1" applyAlignment="1">
      <alignment vertical="center" wrapText="1"/>
    </xf>
    <xf numFmtId="0" fontId="48" fillId="0" borderId="17" xfId="0" applyFont="1" applyBorder="1" applyAlignment="1">
      <alignment horizontal="center" vertical="center" wrapText="1"/>
    </xf>
    <xf numFmtId="0" fontId="0" fillId="8" borderId="0" xfId="0" applyFill="1" applyProtection="1">
      <protection hidden="1"/>
    </xf>
    <xf numFmtId="0" fontId="45" fillId="0" borderId="20" xfId="0" applyFont="1" applyBorder="1" applyAlignment="1">
      <alignment horizontal="right" vertical="center"/>
    </xf>
    <xf numFmtId="0" fontId="2" fillId="0" borderId="20" xfId="0" applyFont="1" applyBorder="1" applyAlignment="1">
      <alignment horizontal="right" vertical="center"/>
    </xf>
    <xf numFmtId="0" fontId="0" fillId="14" borderId="20" xfId="0" applyFill="1" applyBorder="1" applyAlignment="1">
      <alignment horizontal="right"/>
    </xf>
    <xf numFmtId="0" fontId="45" fillId="0" borderId="46" xfId="0" applyFont="1" applyBorder="1" applyAlignment="1">
      <alignment horizontal="right" vertical="center"/>
    </xf>
    <xf numFmtId="0" fontId="33" fillId="0" borderId="0" xfId="0" applyFont="1" applyAlignment="1">
      <alignment horizontal="center"/>
    </xf>
    <xf numFmtId="0" fontId="2" fillId="0" borderId="20" xfId="0" applyFont="1" applyBorder="1" applyAlignment="1">
      <alignment horizontal="right" vertical="center" wrapText="1"/>
    </xf>
    <xf numFmtId="0" fontId="0" fillId="8" borderId="80" xfId="0" applyFill="1" applyBorder="1"/>
    <xf numFmtId="1" fontId="45" fillId="9" borderId="1" xfId="0" applyNumberFormat="1" applyFont="1" applyFill="1" applyBorder="1" applyAlignment="1">
      <alignment horizontal="center" vertical="center"/>
    </xf>
    <xf numFmtId="1" fontId="0" fillId="8" borderId="50" xfId="0" applyNumberFormat="1" applyFill="1" applyBorder="1" applyAlignment="1">
      <alignment horizontal="center"/>
    </xf>
    <xf numFmtId="1" fontId="0" fillId="8" borderId="20" xfId="0" applyNumberFormat="1" applyFill="1" applyBorder="1" applyAlignment="1">
      <alignment horizontal="center"/>
    </xf>
    <xf numFmtId="1" fontId="0" fillId="8" borderId="49" xfId="0" applyNumberFormat="1" applyFill="1" applyBorder="1" applyAlignment="1">
      <alignment horizontal="center"/>
    </xf>
    <xf numFmtId="0" fontId="0" fillId="0" borderId="13" xfId="0" applyBorder="1"/>
    <xf numFmtId="3" fontId="2" fillId="2" borderId="132" xfId="0" applyNumberFormat="1" applyFont="1" applyFill="1" applyBorder="1" applyAlignment="1" applyProtection="1">
      <alignment horizontal="center"/>
      <protection locked="0"/>
    </xf>
    <xf numFmtId="3" fontId="0" fillId="8" borderId="1" xfId="0" applyNumberFormat="1" applyFill="1" applyBorder="1"/>
    <xf numFmtId="0" fontId="0" fillId="8" borderId="133" xfId="0" applyFill="1" applyBorder="1"/>
    <xf numFmtId="0" fontId="0" fillId="8" borderId="131" xfId="0" applyFill="1" applyBorder="1"/>
    <xf numFmtId="4" fontId="0" fillId="2" borderId="1" xfId="0" applyNumberFormat="1" applyFill="1" applyBorder="1" applyAlignment="1" applyProtection="1">
      <alignment horizontal="center"/>
      <protection locked="0"/>
    </xf>
    <xf numFmtId="0" fontId="45" fillId="15" borderId="1" xfId="0" applyFont="1" applyFill="1" applyBorder="1" applyAlignment="1" applyProtection="1">
      <alignment horizontal="center" vertical="center"/>
      <protection locked="0"/>
    </xf>
    <xf numFmtId="1" fontId="45" fillId="15" borderId="1" xfId="0" applyNumberFormat="1" applyFont="1" applyFill="1" applyBorder="1" applyAlignment="1" applyProtection="1">
      <alignment horizontal="center" vertical="center"/>
      <protection locked="0"/>
    </xf>
    <xf numFmtId="0" fontId="0" fillId="0" borderId="132" xfId="0" applyBorder="1"/>
    <xf numFmtId="0" fontId="0" fillId="8" borderId="136" xfId="0" applyFill="1" applyBorder="1"/>
    <xf numFmtId="3" fontId="2" fillId="2" borderId="136" xfId="0" applyNumberFormat="1" applyFont="1" applyFill="1" applyBorder="1" applyAlignment="1" applyProtection="1">
      <alignment horizontal="center"/>
      <protection locked="0"/>
    </xf>
    <xf numFmtId="0" fontId="0" fillId="11" borderId="132" xfId="0" applyFill="1" applyBorder="1"/>
    <xf numFmtId="0" fontId="0" fillId="11" borderId="0" xfId="0" applyFill="1" applyProtection="1">
      <protection locked="0"/>
    </xf>
    <xf numFmtId="3" fontId="0" fillId="0" borderId="0" xfId="0" applyNumberFormat="1" applyAlignment="1">
      <alignment horizontal="right"/>
    </xf>
    <xf numFmtId="0" fontId="0" fillId="0" borderId="137" xfId="0" applyBorder="1"/>
    <xf numFmtId="0" fontId="0" fillId="0" borderId="134" xfId="0" applyBorder="1"/>
    <xf numFmtId="0" fontId="0" fillId="8" borderId="138" xfId="0" applyFill="1" applyBorder="1"/>
    <xf numFmtId="0" fontId="0" fillId="0" borderId="9" xfId="0" applyBorder="1"/>
    <xf numFmtId="0" fontId="0" fillId="0" borderId="16" xfId="0" applyBorder="1"/>
    <xf numFmtId="0" fontId="0" fillId="8" borderId="92" xfId="0" applyFill="1" applyBorder="1"/>
    <xf numFmtId="1" fontId="24" fillId="0" borderId="0" xfId="0" applyNumberFormat="1" applyFont="1" applyAlignment="1">
      <alignment horizontal="center"/>
    </xf>
    <xf numFmtId="0" fontId="24" fillId="0" borderId="139" xfId="0" applyFont="1" applyBorder="1" applyAlignment="1">
      <alignment horizontal="center"/>
    </xf>
    <xf numFmtId="0" fontId="0" fillId="8" borderId="102" xfId="0" applyFill="1" applyBorder="1" applyAlignment="1">
      <alignment horizontal="right"/>
    </xf>
    <xf numFmtId="0" fontId="0" fillId="8" borderId="81" xfId="0" applyFill="1" applyBorder="1"/>
    <xf numFmtId="0" fontId="0" fillId="10" borderId="27" xfId="0" applyFill="1" applyBorder="1" applyAlignment="1">
      <alignment horizontal="right"/>
    </xf>
    <xf numFmtId="0" fontId="0" fillId="10" borderId="29" xfId="0" applyFill="1" applyBorder="1" applyAlignment="1">
      <alignment horizontal="right"/>
    </xf>
    <xf numFmtId="0" fontId="53" fillId="0" borderId="28" xfId="0" applyFont="1" applyBorder="1" applyAlignment="1">
      <alignment wrapText="1"/>
    </xf>
    <xf numFmtId="0" fontId="53" fillId="0" borderId="45" xfId="0" applyFont="1" applyBorder="1" applyAlignment="1">
      <alignment wrapText="1"/>
    </xf>
    <xf numFmtId="0" fontId="0" fillId="11" borderId="124" xfId="0" applyFill="1" applyBorder="1"/>
    <xf numFmtId="165" fontId="0" fillId="8" borderId="0" xfId="0" applyNumberFormat="1" applyFill="1"/>
    <xf numFmtId="2" fontId="0" fillId="9" borderId="31" xfId="0" applyNumberFormat="1" applyFill="1" applyBorder="1" applyAlignment="1">
      <alignment horizontal="center"/>
    </xf>
    <xf numFmtId="2" fontId="24" fillId="11" borderId="31" xfId="0" applyNumberFormat="1" applyFont="1" applyFill="1" applyBorder="1" applyAlignment="1">
      <alignment horizontal="center"/>
    </xf>
    <xf numFmtId="2" fontId="0" fillId="8" borderId="0" xfId="0" applyNumberFormat="1" applyFill="1"/>
    <xf numFmtId="0" fontId="0" fillId="0" borderId="12" xfId="0" applyBorder="1"/>
    <xf numFmtId="0" fontId="0" fillId="0" borderId="25" xfId="0" applyBorder="1"/>
    <xf numFmtId="0" fontId="0" fillId="0" borderId="14" xfId="0" applyBorder="1"/>
    <xf numFmtId="0" fontId="63" fillId="8" borderId="99" xfId="0" applyFont="1" applyFill="1" applyBorder="1"/>
    <xf numFmtId="0" fontId="0" fillId="8" borderId="101" xfId="0" applyFill="1" applyBorder="1"/>
    <xf numFmtId="0" fontId="0" fillId="8" borderId="100" xfId="0" applyFill="1" applyBorder="1"/>
    <xf numFmtId="0" fontId="23" fillId="8" borderId="25" xfId="2" applyFill="1" applyBorder="1" applyAlignment="1" applyProtection="1">
      <alignment horizontal="center" vertical="center" wrapText="1"/>
    </xf>
    <xf numFmtId="38" fontId="6" fillId="12" borderId="21" xfId="0" applyNumberFormat="1" applyFont="1" applyFill="1" applyBorder="1" applyAlignment="1">
      <alignment horizontal="center" vertical="center"/>
    </xf>
    <xf numFmtId="0" fontId="27" fillId="0" borderId="50" xfId="1" applyFont="1" applyBorder="1" applyAlignment="1" applyProtection="1">
      <alignment horizontal="left" wrapText="1"/>
    </xf>
    <xf numFmtId="0" fontId="58" fillId="8" borderId="0" xfId="1" applyFont="1" applyFill="1" applyBorder="1" applyAlignment="1" applyProtection="1">
      <alignment horizontal="left" wrapText="1"/>
    </xf>
    <xf numFmtId="0" fontId="4" fillId="0" borderId="50" xfId="0" applyFont="1" applyBorder="1" applyAlignment="1">
      <alignment horizontal="left" wrapText="1"/>
    </xf>
    <xf numFmtId="0" fontId="4" fillId="0" borderId="145" xfId="0" applyFont="1" applyBorder="1" applyAlignment="1">
      <alignment horizontal="left" wrapText="1"/>
    </xf>
    <xf numFmtId="0" fontId="45" fillId="0" borderId="147" xfId="0" applyFont="1" applyBorder="1" applyAlignment="1">
      <alignment horizontal="right" vertical="center"/>
    </xf>
    <xf numFmtId="0" fontId="45" fillId="9" borderId="148" xfId="0" applyFont="1" applyFill="1" applyBorder="1" applyAlignment="1">
      <alignment horizontal="center" vertical="center"/>
    </xf>
    <xf numFmtId="38" fontId="45" fillId="9" borderId="148" xfId="0" applyNumberFormat="1" applyFont="1" applyFill="1" applyBorder="1" applyAlignment="1">
      <alignment horizontal="center" vertical="center"/>
    </xf>
    <xf numFmtId="0" fontId="48" fillId="0" borderId="149" xfId="0" applyFont="1" applyBorder="1" applyAlignment="1">
      <alignment horizontal="center" vertical="center" wrapText="1"/>
    </xf>
    <xf numFmtId="0" fontId="0" fillId="8" borderId="42" xfId="0" applyFill="1" applyBorder="1" applyAlignment="1">
      <alignment wrapText="1"/>
    </xf>
    <xf numFmtId="0" fontId="0" fillId="8" borderId="36" xfId="0" applyFill="1" applyBorder="1"/>
    <xf numFmtId="0" fontId="0" fillId="8" borderId="8" xfId="0" applyFill="1" applyBorder="1"/>
    <xf numFmtId="0" fontId="0" fillId="8" borderId="15" xfId="0" applyFill="1" applyBorder="1"/>
    <xf numFmtId="3" fontId="2" fillId="2" borderId="124" xfId="0" applyNumberFormat="1" applyFont="1" applyFill="1" applyBorder="1" applyAlignment="1" applyProtection="1">
      <alignment horizontal="center"/>
      <protection locked="0"/>
    </xf>
    <xf numFmtId="0" fontId="0" fillId="0" borderId="150" xfId="0" applyBorder="1"/>
    <xf numFmtId="0" fontId="0" fillId="0" borderId="15" xfId="0" applyBorder="1"/>
    <xf numFmtId="0" fontId="0" fillId="8" borderId="150" xfId="0" applyFill="1" applyBorder="1"/>
    <xf numFmtId="3" fontId="0" fillId="2" borderId="132" xfId="0" applyNumberFormat="1" applyFill="1" applyBorder="1" applyAlignment="1" applyProtection="1">
      <alignment horizontal="center"/>
      <protection locked="0"/>
    </xf>
    <xf numFmtId="4" fontId="0" fillId="2" borderId="132" xfId="0" applyNumberFormat="1" applyFill="1" applyBorder="1" applyAlignment="1" applyProtection="1">
      <alignment horizontal="center"/>
      <protection locked="0"/>
    </xf>
    <xf numFmtId="0" fontId="0" fillId="9" borderId="60" xfId="0" applyFill="1" applyBorder="1"/>
    <xf numFmtId="0" fontId="0" fillId="9" borderId="61" xfId="0" applyFill="1" applyBorder="1"/>
    <xf numFmtId="0" fontId="30" fillId="9" borderId="61" xfId="0" applyFont="1" applyFill="1" applyBorder="1" applyAlignment="1">
      <alignment horizontal="left"/>
    </xf>
    <xf numFmtId="0" fontId="0" fillId="9" borderId="43" xfId="0" applyFill="1" applyBorder="1"/>
    <xf numFmtId="0" fontId="65" fillId="8" borderId="0" xfId="0" applyFont="1" applyFill="1"/>
    <xf numFmtId="0" fontId="0" fillId="0" borderId="96" xfId="0" applyBorder="1" applyAlignment="1">
      <alignment horizontal="left"/>
    </xf>
    <xf numFmtId="3" fontId="24" fillId="0" borderId="60" xfId="0" applyNumberFormat="1" applyFont="1" applyBorder="1" applyAlignment="1">
      <alignment horizontal="center"/>
    </xf>
    <xf numFmtId="0" fontId="66" fillId="8" borderId="0" xfId="0" applyFont="1" applyFill="1"/>
    <xf numFmtId="0" fontId="0" fillId="8" borderId="134" xfId="0" applyFill="1" applyBorder="1" applyAlignment="1">
      <alignment horizontal="right"/>
    </xf>
    <xf numFmtId="0" fontId="0" fillId="8" borderId="134" xfId="0" applyFill="1" applyBorder="1"/>
    <xf numFmtId="0" fontId="0" fillId="8" borderId="65" xfId="0" applyFill="1" applyBorder="1"/>
    <xf numFmtId="3" fontId="0" fillId="8" borderId="16" xfId="0" applyNumberFormat="1" applyFill="1" applyBorder="1"/>
    <xf numFmtId="3" fontId="0" fillId="8" borderId="11" xfId="0" applyNumberFormat="1" applyFill="1" applyBorder="1"/>
    <xf numFmtId="3" fontId="0" fillId="8" borderId="12" xfId="0" applyNumberFormat="1" applyFill="1" applyBorder="1"/>
    <xf numFmtId="0" fontId="34" fillId="0" borderId="153" xfId="0" applyFont="1" applyBorder="1" applyAlignment="1">
      <alignment horizontal="center"/>
    </xf>
    <xf numFmtId="0" fontId="34" fillId="0" borderId="151" xfId="0" applyFont="1" applyBorder="1" applyAlignment="1">
      <alignment horizontal="center"/>
    </xf>
    <xf numFmtId="0" fontId="35" fillId="0" borderId="153" xfId="0" applyFont="1" applyBorder="1" applyAlignment="1">
      <alignment horizontal="center"/>
    </xf>
    <xf numFmtId="0" fontId="35" fillId="0" borderId="151" xfId="0" applyFont="1" applyBorder="1" applyAlignment="1">
      <alignment horizontal="center"/>
    </xf>
    <xf numFmtId="0" fontId="35" fillId="0" borderId="163" xfId="0" applyFont="1" applyBorder="1" applyAlignment="1">
      <alignment horizontal="center"/>
    </xf>
    <xf numFmtId="0" fontId="0" fillId="0" borderId="163" xfId="0" applyBorder="1" applyAlignment="1">
      <alignment horizontal="left"/>
    </xf>
    <xf numFmtId="0" fontId="0" fillId="0" borderId="153" xfId="0" applyBorder="1" applyAlignment="1">
      <alignment horizontal="right"/>
    </xf>
    <xf numFmtId="0" fontId="26" fillId="0" borderId="153" xfId="0" applyFont="1" applyBorder="1" applyAlignment="1">
      <alignment horizontal="right"/>
    </xf>
    <xf numFmtId="0" fontId="0" fillId="0" borderId="61" xfId="0" applyBorder="1" applyAlignment="1">
      <alignment horizontal="center"/>
    </xf>
    <xf numFmtId="0" fontId="0" fillId="0" borderId="61" xfId="0" applyBorder="1"/>
    <xf numFmtId="0" fontId="69" fillId="8" borderId="0" xfId="0" applyFont="1" applyFill="1"/>
    <xf numFmtId="0" fontId="22" fillId="0" borderId="16" xfId="1" applyBorder="1" applyProtection="1"/>
    <xf numFmtId="0" fontId="0" fillId="8" borderId="11" xfId="0" applyFill="1" applyBorder="1"/>
    <xf numFmtId="0" fontId="0" fillId="8" borderId="25" xfId="0" applyFill="1" applyBorder="1"/>
    <xf numFmtId="0" fontId="27" fillId="0" borderId="52" xfId="1" applyFont="1" applyBorder="1" applyAlignment="1" applyProtection="1">
      <alignment horizontal="left" wrapText="1"/>
    </xf>
    <xf numFmtId="0" fontId="2" fillId="0" borderId="145" xfId="0" applyFont="1" applyBorder="1" applyAlignment="1">
      <alignment horizontal="right" vertical="center"/>
    </xf>
    <xf numFmtId="0" fontId="45" fillId="15" borderId="8" xfId="0" applyFont="1" applyFill="1" applyBorder="1" applyAlignment="1" applyProtection="1">
      <alignment horizontal="center" vertical="center"/>
      <protection locked="0"/>
    </xf>
    <xf numFmtId="0" fontId="45" fillId="0" borderId="102" xfId="0" applyFont="1" applyBorder="1" applyAlignment="1">
      <alignment horizontal="right" vertical="center"/>
    </xf>
    <xf numFmtId="38" fontId="4" fillId="11" borderId="15" xfId="0" applyNumberFormat="1" applyFont="1" applyFill="1" applyBorder="1" applyAlignment="1">
      <alignment horizontal="center"/>
    </xf>
    <xf numFmtId="0" fontId="45" fillId="9" borderId="80" xfId="0" applyFont="1" applyFill="1" applyBorder="1" applyAlignment="1">
      <alignment horizontal="center" vertical="center"/>
    </xf>
    <xf numFmtId="38" fontId="6" fillId="0" borderId="21" xfId="0" applyNumberFormat="1" applyFont="1" applyBorder="1" applyAlignment="1">
      <alignment horizontal="center"/>
    </xf>
    <xf numFmtId="0" fontId="45" fillId="21" borderId="1" xfId="0" applyFont="1" applyFill="1" applyBorder="1" applyAlignment="1" applyProtection="1">
      <alignment horizontal="center" vertical="center"/>
      <protection locked="0"/>
    </xf>
    <xf numFmtId="1" fontId="45" fillId="9" borderId="36" xfId="0" applyNumberFormat="1" applyFont="1" applyFill="1" applyBorder="1" applyAlignment="1">
      <alignment horizontal="center" vertical="center"/>
    </xf>
    <xf numFmtId="0" fontId="0" fillId="8" borderId="166" xfId="0" applyFill="1" applyBorder="1"/>
    <xf numFmtId="0" fontId="0" fillId="0" borderId="100" xfId="0" applyBorder="1"/>
    <xf numFmtId="0" fontId="0" fillId="0" borderId="164" xfId="0" applyBorder="1"/>
    <xf numFmtId="0" fontId="0" fillId="0" borderId="28" xfId="0" applyBorder="1"/>
    <xf numFmtId="0" fontId="0" fillId="8" borderId="37" xfId="0" applyFill="1" applyBorder="1"/>
    <xf numFmtId="0" fontId="0" fillId="0" borderId="30" xfId="0" applyBorder="1"/>
    <xf numFmtId="0" fontId="0" fillId="8" borderId="40" xfId="0" applyFill="1" applyBorder="1"/>
    <xf numFmtId="0" fontId="0" fillId="8" borderId="153" xfId="0" applyFill="1" applyBorder="1"/>
    <xf numFmtId="1" fontId="0" fillId="8" borderId="145" xfId="0" applyNumberFormat="1" applyFill="1" applyBorder="1"/>
    <xf numFmtId="0" fontId="0" fillId="8" borderId="55" xfId="0" applyFill="1" applyBorder="1"/>
    <xf numFmtId="0" fontId="0" fillId="8" borderId="41" xfId="0" applyFill="1" applyBorder="1"/>
    <xf numFmtId="0" fontId="0" fillId="0" borderId="48" xfId="0" applyBorder="1"/>
    <xf numFmtId="0" fontId="0" fillId="0" borderId="40" xfId="0" applyBorder="1"/>
    <xf numFmtId="0" fontId="0" fillId="0" borderId="151" xfId="0" applyBorder="1"/>
    <xf numFmtId="0" fontId="0" fillId="0" borderId="153" xfId="0" applyBorder="1"/>
    <xf numFmtId="1" fontId="0" fillId="8" borderId="153" xfId="0" applyNumberFormat="1" applyFill="1" applyBorder="1"/>
    <xf numFmtId="0" fontId="0" fillId="0" borderId="49" xfId="0" applyBorder="1"/>
    <xf numFmtId="0" fontId="0" fillId="0" borderId="32" xfId="0" applyBorder="1"/>
    <xf numFmtId="0" fontId="0" fillId="0" borderId="58" xfId="0" applyBorder="1"/>
    <xf numFmtId="0" fontId="0" fillId="0" borderId="165" xfId="0" applyBorder="1"/>
    <xf numFmtId="0" fontId="0" fillId="0" borderId="160" xfId="0" applyBorder="1"/>
    <xf numFmtId="0" fontId="0" fillId="0" borderId="161" xfId="0" applyBorder="1"/>
    <xf numFmtId="0" fontId="0" fillId="22" borderId="0" xfId="0" applyFill="1"/>
    <xf numFmtId="0" fontId="0" fillId="22" borderId="1" xfId="0" applyFill="1" applyBorder="1"/>
    <xf numFmtId="0" fontId="22" fillId="22" borderId="150" xfId="1" applyFill="1" applyBorder="1" applyProtection="1"/>
    <xf numFmtId="3" fontId="0" fillId="22" borderId="0" xfId="0" applyNumberFormat="1" applyFill="1"/>
    <xf numFmtId="0" fontId="0" fillId="22" borderId="8" xfId="0" applyFill="1" applyBorder="1"/>
    <xf numFmtId="0" fontId="0" fillId="22" borderId="137" xfId="0" applyFill="1" applyBorder="1"/>
    <xf numFmtId="0" fontId="0" fillId="22" borderId="138" xfId="0" applyFill="1" applyBorder="1"/>
    <xf numFmtId="0" fontId="0" fillId="22" borderId="15" xfId="0" applyFill="1" applyBorder="1"/>
    <xf numFmtId="0" fontId="0" fillId="22" borderId="9" xfId="0" applyFill="1" applyBorder="1"/>
    <xf numFmtId="0" fontId="0" fillId="22" borderId="16" xfId="0" applyFill="1" applyBorder="1"/>
    <xf numFmtId="0" fontId="22" fillId="22" borderId="0" xfId="1" applyFill="1" applyBorder="1" applyProtection="1"/>
    <xf numFmtId="0" fontId="0" fillId="22" borderId="10" xfId="0" applyFill="1" applyBorder="1"/>
    <xf numFmtId="0" fontId="0" fillId="22" borderId="12" xfId="0" applyFill="1" applyBorder="1"/>
    <xf numFmtId="0" fontId="0" fillId="22" borderId="150" xfId="0" applyFill="1" applyBorder="1"/>
    <xf numFmtId="0" fontId="0" fillId="22" borderId="131" xfId="0" applyFill="1" applyBorder="1"/>
    <xf numFmtId="38" fontId="4" fillId="22" borderId="25" xfId="0" applyNumberFormat="1" applyFont="1" applyFill="1" applyBorder="1" applyAlignment="1">
      <alignment horizontal="center"/>
    </xf>
    <xf numFmtId="0" fontId="0" fillId="22" borderId="130" xfId="0" applyFill="1" applyBorder="1"/>
    <xf numFmtId="0" fontId="0" fillId="22" borderId="132" xfId="0" applyFill="1" applyBorder="1"/>
    <xf numFmtId="38" fontId="4" fillId="22" borderId="154" xfId="0" applyNumberFormat="1" applyFont="1" applyFill="1" applyBorder="1" applyAlignment="1">
      <alignment horizontal="center"/>
    </xf>
    <xf numFmtId="0" fontId="0" fillId="22" borderId="1" xfId="0" applyFill="1" applyBorder="1" applyAlignment="1">
      <alignment wrapText="1"/>
    </xf>
    <xf numFmtId="1" fontId="0" fillId="22" borderId="0" xfId="0" applyNumberFormat="1" applyFill="1"/>
    <xf numFmtId="0" fontId="0" fillId="22" borderId="64" xfId="0" applyFill="1" applyBorder="1"/>
    <xf numFmtId="0" fontId="0" fillId="22" borderId="62" xfId="0" applyFill="1" applyBorder="1"/>
    <xf numFmtId="0" fontId="0" fillId="22" borderId="134" xfId="0" applyFill="1" applyBorder="1"/>
    <xf numFmtId="3" fontId="0" fillId="22" borderId="15" xfId="0" applyNumberFormat="1" applyFill="1" applyBorder="1"/>
    <xf numFmtId="3" fontId="0" fillId="22" borderId="13" xfId="0" applyNumberFormat="1" applyFill="1" applyBorder="1"/>
    <xf numFmtId="0" fontId="0" fillId="22" borderId="14" xfId="0" applyFill="1" applyBorder="1"/>
    <xf numFmtId="0" fontId="0" fillId="22" borderId="13" xfId="0" applyFill="1" applyBorder="1"/>
    <xf numFmtId="38" fontId="4" fillId="22" borderId="133" xfId="0" applyNumberFormat="1" applyFont="1" applyFill="1" applyBorder="1" applyAlignment="1">
      <alignment horizontal="center"/>
    </xf>
    <xf numFmtId="0" fontId="0" fillId="22" borderId="65" xfId="0" applyFill="1" applyBorder="1"/>
    <xf numFmtId="0" fontId="22" fillId="22" borderId="9" xfId="1" applyFill="1" applyBorder="1" applyProtection="1"/>
    <xf numFmtId="0" fontId="22" fillId="22" borderId="16" xfId="1" applyFill="1" applyBorder="1" applyProtection="1"/>
    <xf numFmtId="0" fontId="2" fillId="22" borderId="134" xfId="0" applyFont="1" applyFill="1" applyBorder="1"/>
    <xf numFmtId="0" fontId="2" fillId="22" borderId="138" xfId="0" applyFont="1" applyFill="1" applyBorder="1"/>
    <xf numFmtId="0" fontId="60" fillId="22" borderId="1" xfId="0" applyFont="1" applyFill="1" applyBorder="1"/>
    <xf numFmtId="0" fontId="2" fillId="22" borderId="0" xfId="0" applyFont="1" applyFill="1"/>
    <xf numFmtId="0" fontId="0" fillId="22" borderId="0" xfId="0" applyFill="1" applyAlignment="1">
      <alignment horizontal="left"/>
    </xf>
    <xf numFmtId="0" fontId="0" fillId="22" borderId="16" xfId="0" applyFill="1" applyBorder="1" applyAlignment="1">
      <alignment horizontal="left"/>
    </xf>
    <xf numFmtId="0" fontId="22" fillId="22" borderId="10" xfId="1" applyFill="1" applyBorder="1" applyProtection="1"/>
    <xf numFmtId="0" fontId="2" fillId="22" borderId="11" xfId="0" applyFont="1" applyFill="1" applyBorder="1"/>
    <xf numFmtId="0" fontId="0" fillId="22" borderId="11" xfId="0" applyFill="1" applyBorder="1" applyAlignment="1">
      <alignment horizontal="left"/>
    </xf>
    <xf numFmtId="4" fontId="61" fillId="22" borderId="1" xfId="0" applyNumberFormat="1" applyFont="1" applyFill="1" applyBorder="1" applyAlignment="1" applyProtection="1">
      <alignment horizontal="center"/>
      <protection locked="0"/>
    </xf>
    <xf numFmtId="3" fontId="0" fillId="22" borderId="1" xfId="0" applyNumberFormat="1" applyFill="1" applyBorder="1"/>
    <xf numFmtId="3" fontId="2" fillId="22" borderId="1" xfId="0" applyNumberFormat="1" applyFont="1" applyFill="1" applyBorder="1" applyAlignment="1" applyProtection="1">
      <alignment horizontal="center"/>
      <protection locked="0"/>
    </xf>
    <xf numFmtId="0" fontId="23" fillId="22" borderId="11" xfId="2" applyFill="1" applyBorder="1" applyAlignment="1" applyProtection="1">
      <alignment horizontal="center" vertical="center" wrapText="1"/>
      <protection locked="0"/>
    </xf>
    <xf numFmtId="0" fontId="23" fillId="22" borderId="133" xfId="2" applyFill="1" applyBorder="1" applyAlignment="1" applyProtection="1">
      <alignment horizontal="center" vertical="center" wrapText="1"/>
      <protection locked="0"/>
    </xf>
    <xf numFmtId="0" fontId="23" fillId="22" borderId="82" xfId="2" applyFill="1" applyBorder="1" applyAlignment="1" applyProtection="1">
      <alignment horizontal="center" vertical="center" wrapText="1"/>
      <protection locked="0"/>
    </xf>
    <xf numFmtId="0" fontId="0" fillId="22" borderId="137" xfId="0" applyFill="1" applyBorder="1" applyAlignment="1">
      <alignment horizontal="right"/>
    </xf>
    <xf numFmtId="0" fontId="0" fillId="22" borderId="0" xfId="0" applyFill="1" applyAlignment="1">
      <alignment horizontal="right"/>
    </xf>
    <xf numFmtId="0" fontId="0" fillId="22" borderId="0" xfId="0" applyFill="1" applyProtection="1">
      <protection locked="0"/>
    </xf>
    <xf numFmtId="0" fontId="0" fillId="22" borderId="9" xfId="0" applyFill="1" applyBorder="1" applyAlignment="1">
      <alignment horizontal="right"/>
    </xf>
    <xf numFmtId="0" fontId="0" fillId="22" borderId="102" xfId="0" applyFill="1" applyBorder="1"/>
    <xf numFmtId="0" fontId="0" fillId="22" borderId="67" xfId="0" applyFill="1" applyBorder="1" applyAlignment="1">
      <alignment horizontal="center"/>
    </xf>
    <xf numFmtId="0" fontId="0" fillId="22" borderId="81" xfId="0" applyFill="1" applyBorder="1"/>
    <xf numFmtId="0" fontId="0" fillId="22" borderId="81" xfId="0" applyFill="1" applyBorder="1" applyAlignment="1">
      <alignment horizontal="center" wrapText="1"/>
    </xf>
    <xf numFmtId="0" fontId="0" fillId="22" borderId="124" xfId="0" applyFill="1" applyBorder="1" applyAlignment="1">
      <alignment horizontal="center" wrapText="1"/>
    </xf>
    <xf numFmtId="0" fontId="0" fillId="22" borderId="102" xfId="0" applyFill="1" applyBorder="1" applyAlignment="1">
      <alignment horizontal="center" wrapText="1"/>
    </xf>
    <xf numFmtId="0" fontId="24" fillId="22" borderId="67" xfId="0" applyFont="1" applyFill="1" applyBorder="1" applyAlignment="1">
      <alignment horizontal="center" wrapText="1"/>
    </xf>
    <xf numFmtId="0" fontId="0" fillId="22" borderId="67" xfId="0" applyFill="1" applyBorder="1" applyAlignment="1">
      <alignment horizontal="center" wrapText="1"/>
    </xf>
    <xf numFmtId="0" fontId="0" fillId="22" borderId="74" xfId="0" applyFill="1" applyBorder="1" applyAlignment="1">
      <alignment horizontal="center"/>
    </xf>
    <xf numFmtId="0" fontId="0" fillId="22" borderId="60" xfId="0" applyFill="1" applyBorder="1" applyAlignment="1">
      <alignment horizontal="center"/>
    </xf>
    <xf numFmtId="0" fontId="24" fillId="22" borderId="61" xfId="0" applyFont="1" applyFill="1" applyBorder="1" applyAlignment="1">
      <alignment horizontal="center"/>
    </xf>
    <xf numFmtId="0" fontId="0" fillId="22" borderId="43" xfId="0" applyFill="1" applyBorder="1" applyAlignment="1">
      <alignment horizontal="center"/>
    </xf>
    <xf numFmtId="0" fontId="0" fillId="22" borderId="61" xfId="0" applyFill="1" applyBorder="1" applyAlignment="1">
      <alignment horizontal="center"/>
    </xf>
    <xf numFmtId="0" fontId="0" fillId="22" borderId="27" xfId="0" applyFill="1" applyBorder="1" applyAlignment="1">
      <alignment horizontal="center"/>
    </xf>
    <xf numFmtId="0" fontId="0" fillId="22" borderId="0" xfId="0" applyFill="1" applyAlignment="1">
      <alignment horizontal="center"/>
    </xf>
    <xf numFmtId="0" fontId="0" fillId="22" borderId="73" xfId="0" applyFill="1" applyBorder="1" applyAlignment="1">
      <alignment horizontal="center"/>
    </xf>
    <xf numFmtId="0" fontId="24" fillId="22" borderId="0" xfId="0" applyFont="1" applyFill="1" applyAlignment="1">
      <alignment horizontal="center"/>
    </xf>
    <xf numFmtId="0" fontId="0" fillId="22" borderId="28" xfId="0" applyFill="1" applyBorder="1" applyAlignment="1">
      <alignment horizontal="center"/>
    </xf>
    <xf numFmtId="0" fontId="0" fillId="22" borderId="39" xfId="0" applyFill="1" applyBorder="1" applyAlignment="1">
      <alignment horizontal="center"/>
    </xf>
    <xf numFmtId="0" fontId="0" fillId="22" borderId="29" xfId="0" applyFill="1" applyBorder="1" applyAlignment="1">
      <alignment horizontal="center"/>
    </xf>
    <xf numFmtId="0" fontId="24" fillId="22" borderId="26" xfId="0" applyFont="1" applyFill="1" applyBorder="1" applyAlignment="1">
      <alignment horizontal="center"/>
    </xf>
    <xf numFmtId="1" fontId="0" fillId="22" borderId="30" xfId="0" applyNumberFormat="1" applyFill="1" applyBorder="1" applyAlignment="1">
      <alignment horizontal="center"/>
    </xf>
    <xf numFmtId="0" fontId="0" fillId="22" borderId="26" xfId="0" applyFill="1" applyBorder="1" applyAlignment="1">
      <alignment horizontal="center"/>
    </xf>
    <xf numFmtId="0" fontId="0" fillId="22" borderId="30" xfId="0" applyFill="1" applyBorder="1" applyAlignment="1">
      <alignment horizontal="center"/>
    </xf>
    <xf numFmtId="1" fontId="62" fillId="23" borderId="126" xfId="0" applyNumberFormat="1" applyFont="1" applyFill="1" applyBorder="1" applyAlignment="1">
      <alignment horizontal="center"/>
    </xf>
    <xf numFmtId="2" fontId="4" fillId="23" borderId="126" xfId="0" applyNumberFormat="1" applyFont="1" applyFill="1" applyBorder="1" applyAlignment="1">
      <alignment horizontal="center"/>
    </xf>
    <xf numFmtId="1" fontId="4" fillId="23" borderId="126" xfId="0" applyNumberFormat="1" applyFont="1" applyFill="1" applyBorder="1" applyAlignment="1">
      <alignment horizontal="center"/>
    </xf>
    <xf numFmtId="2" fontId="0" fillId="22" borderId="0" xfId="0" applyNumberFormat="1" applyFill="1"/>
    <xf numFmtId="0" fontId="56" fillId="22" borderId="125" xfId="0" applyFont="1" applyFill="1" applyBorder="1" applyAlignment="1">
      <alignment horizontal="center" vertical="center" wrapText="1"/>
    </xf>
    <xf numFmtId="0" fontId="57" fillId="22" borderId="125" xfId="0" applyFont="1" applyFill="1" applyBorder="1" applyAlignment="1">
      <alignment vertical="center" wrapText="1"/>
    </xf>
    <xf numFmtId="0" fontId="4" fillId="23" borderId="126" xfId="0" applyFont="1" applyFill="1" applyBorder="1" applyAlignment="1">
      <alignment wrapText="1"/>
    </xf>
    <xf numFmtId="0" fontId="4" fillId="23" borderId="126" xfId="0" applyFont="1" applyFill="1" applyBorder="1" applyAlignment="1">
      <alignment horizontal="left"/>
    </xf>
    <xf numFmtId="0" fontId="4" fillId="23" borderId="126" xfId="0" applyFont="1" applyFill="1" applyBorder="1" applyAlignment="1">
      <alignment horizontal="left" wrapText="1"/>
    </xf>
    <xf numFmtId="0" fontId="0" fillId="22" borderId="0" xfId="0" applyFill="1" applyAlignment="1">
      <alignment wrapText="1"/>
    </xf>
    <xf numFmtId="0" fontId="56" fillId="22" borderId="124" xfId="0" applyFont="1" applyFill="1" applyBorder="1" applyAlignment="1">
      <alignment horizontal="left" vertical="center" wrapText="1" indent="2"/>
    </xf>
    <xf numFmtId="0" fontId="56" fillId="22" borderId="81" xfId="0" applyFont="1" applyFill="1" applyBorder="1" applyAlignment="1">
      <alignment vertical="center" wrapText="1"/>
    </xf>
    <xf numFmtId="0" fontId="57" fillId="22" borderId="39" xfId="0" applyFont="1" applyFill="1" applyBorder="1" applyAlignment="1">
      <alignment vertical="center" wrapText="1"/>
    </xf>
    <xf numFmtId="0" fontId="57" fillId="22" borderId="30" xfId="0" applyFont="1" applyFill="1" applyBorder="1" applyAlignment="1">
      <alignment vertical="center" wrapText="1"/>
    </xf>
    <xf numFmtId="0" fontId="45" fillId="22" borderId="0" xfId="0" applyFont="1" applyFill="1" applyAlignment="1">
      <alignment vertical="center" wrapText="1"/>
    </xf>
    <xf numFmtId="9" fontId="57" fillId="22" borderId="30" xfId="0" applyNumberFormat="1" applyFont="1" applyFill="1" applyBorder="1" applyAlignment="1">
      <alignment vertical="center" wrapText="1"/>
    </xf>
    <xf numFmtId="0" fontId="0" fillId="22" borderId="81" xfId="0" applyFill="1" applyBorder="1" applyAlignment="1">
      <alignment horizontal="right"/>
    </xf>
    <xf numFmtId="0" fontId="0" fillId="22" borderId="124" xfId="0" applyFill="1" applyBorder="1"/>
    <xf numFmtId="2" fontId="24" fillId="22" borderId="0" xfId="0" applyNumberFormat="1" applyFont="1" applyFill="1"/>
    <xf numFmtId="0" fontId="2" fillId="0" borderId="112" xfId="0" applyFont="1" applyBorder="1" applyAlignment="1">
      <alignment vertical="center"/>
    </xf>
    <xf numFmtId="0" fontId="2" fillId="0" borderId="134" xfId="0" applyFont="1" applyBorder="1" applyAlignment="1">
      <alignment vertical="center"/>
    </xf>
    <xf numFmtId="0" fontId="2" fillId="0" borderId="65" xfId="0" applyFont="1" applyBorder="1" applyAlignment="1">
      <alignment vertical="center"/>
    </xf>
    <xf numFmtId="0" fontId="48" fillId="0" borderId="167" xfId="0" applyFont="1" applyBorder="1" applyAlignment="1">
      <alignment horizontal="center" vertical="center" wrapText="1"/>
    </xf>
    <xf numFmtId="0" fontId="24" fillId="0" borderId="167" xfId="0" quotePrefix="1" applyFont="1" applyBorder="1" applyAlignment="1">
      <alignment horizontal="center" vertical="center"/>
    </xf>
    <xf numFmtId="0" fontId="45" fillId="0" borderId="167" xfId="0" applyFont="1" applyBorder="1" applyAlignment="1">
      <alignment horizontal="right" wrapText="1"/>
    </xf>
    <xf numFmtId="38" fontId="4" fillId="9" borderId="168" xfId="0" applyNumberFormat="1" applyFont="1" applyFill="1" applyBorder="1" applyAlignment="1">
      <alignment horizontal="center"/>
    </xf>
    <xf numFmtId="0" fontId="45" fillId="9" borderId="1" xfId="0" applyFont="1" applyFill="1" applyBorder="1" applyAlignment="1">
      <alignment horizontal="center" vertical="center" wrapText="1"/>
    </xf>
    <xf numFmtId="0" fontId="0" fillId="0" borderId="0" xfId="0" applyAlignment="1">
      <alignment wrapText="1"/>
    </xf>
    <xf numFmtId="0" fontId="0" fillId="0" borderId="153" xfId="0" applyBorder="1" applyAlignment="1">
      <alignment wrapText="1"/>
    </xf>
    <xf numFmtId="0" fontId="0" fillId="0" borderId="50" xfId="0" applyBorder="1" applyAlignment="1">
      <alignment wrapText="1"/>
    </xf>
    <xf numFmtId="3" fontId="26" fillId="2" borderId="1" xfId="0" applyNumberFormat="1" applyFont="1" applyFill="1" applyBorder="1" applyAlignment="1" applyProtection="1">
      <alignment horizontal="center"/>
      <protection locked="0"/>
    </xf>
    <xf numFmtId="164" fontId="0" fillId="22" borderId="0" xfId="0" applyNumberFormat="1" applyFill="1"/>
    <xf numFmtId="0" fontId="0" fillId="0" borderId="1" xfId="0" applyBorder="1" applyAlignment="1">
      <alignment wrapText="1"/>
    </xf>
    <xf numFmtId="0" fontId="2" fillId="0" borderId="25" xfId="0" applyFont="1" applyBorder="1"/>
    <xf numFmtId="0" fontId="2" fillId="0" borderId="13" xfId="0" applyFont="1" applyBorder="1"/>
    <xf numFmtId="0" fontId="2" fillId="0" borderId="79" xfId="0" applyFont="1" applyBorder="1"/>
    <xf numFmtId="0" fontId="2" fillId="0" borderId="78" xfId="0" applyFont="1" applyBorder="1"/>
    <xf numFmtId="166" fontId="0" fillId="9" borderId="1" xfId="0" applyNumberFormat="1" applyFill="1" applyBorder="1" applyAlignment="1" applyProtection="1">
      <alignment horizontal="center" vertical="center"/>
      <protection hidden="1"/>
    </xf>
    <xf numFmtId="164" fontId="4" fillId="9" borderId="1" xfId="0" applyNumberFormat="1" applyFont="1" applyFill="1" applyBorder="1" applyAlignment="1">
      <alignment horizontal="center" wrapText="1"/>
    </xf>
    <xf numFmtId="0" fontId="2" fillId="0" borderId="3" xfId="0" applyFont="1" applyBorder="1" applyAlignment="1">
      <alignment horizontal="left"/>
    </xf>
    <xf numFmtId="0" fontId="2" fillId="0" borderId="20" xfId="0" applyFont="1" applyBorder="1" applyAlignment="1">
      <alignment horizontal="left"/>
    </xf>
    <xf numFmtId="0" fontId="2" fillId="0" borderId="141" xfId="0" applyFont="1" applyBorder="1" applyAlignment="1">
      <alignment horizontal="left"/>
    </xf>
    <xf numFmtId="38" fontId="4" fillId="9" borderId="35" xfId="0" applyNumberFormat="1" applyFont="1" applyFill="1" applyBorder="1" applyAlignment="1">
      <alignment horizontal="center" wrapText="1"/>
    </xf>
    <xf numFmtId="0" fontId="2" fillId="0" borderId="2" xfId="0" applyFont="1" applyBorder="1" applyAlignment="1">
      <alignment horizontal="left"/>
    </xf>
    <xf numFmtId="0" fontId="0" fillId="0" borderId="12" xfId="0" applyBorder="1" applyAlignment="1">
      <alignment wrapText="1"/>
    </xf>
    <xf numFmtId="0" fontId="0" fillId="0" borderId="10" xfId="0" applyBorder="1" applyAlignment="1">
      <alignment wrapText="1"/>
    </xf>
    <xf numFmtId="0" fontId="0" fillId="8" borderId="0" xfId="0" applyFill="1" applyAlignment="1">
      <alignment wrapText="1"/>
    </xf>
    <xf numFmtId="0" fontId="0" fillId="0" borderId="138" xfId="0" applyBorder="1" applyAlignment="1">
      <alignment wrapText="1"/>
    </xf>
    <xf numFmtId="0" fontId="0" fillId="0" borderId="16" xfId="0" applyBorder="1" applyAlignment="1">
      <alignment wrapText="1"/>
    </xf>
    <xf numFmtId="0" fontId="0" fillId="0" borderId="150" xfId="0" applyBorder="1" applyAlignment="1">
      <alignment wrapText="1"/>
    </xf>
    <xf numFmtId="0" fontId="0" fillId="0" borderId="15" xfId="0" applyBorder="1" applyAlignment="1">
      <alignment wrapText="1"/>
    </xf>
    <xf numFmtId="0" fontId="4" fillId="0" borderId="0" xfId="0" applyFont="1" applyAlignment="1">
      <alignment wrapText="1"/>
    </xf>
    <xf numFmtId="0" fontId="2" fillId="0" borderId="0" xfId="0" applyFont="1" applyAlignment="1">
      <alignment horizontal="center" wrapText="1"/>
    </xf>
    <xf numFmtId="0" fontId="4" fillId="0" borderId="0" xfId="0" applyFont="1" applyAlignment="1">
      <alignment vertical="center" wrapText="1"/>
    </xf>
    <xf numFmtId="3" fontId="0" fillId="2" borderId="15" xfId="0" applyNumberFormat="1" applyFill="1" applyBorder="1" applyAlignment="1" applyProtection="1">
      <alignment horizontal="center" wrapText="1"/>
      <protection locked="0"/>
    </xf>
    <xf numFmtId="3" fontId="0" fillId="2" borderId="132" xfId="0" applyNumberFormat="1" applyFill="1" applyBorder="1" applyAlignment="1" applyProtection="1">
      <alignment horizontal="center" wrapText="1"/>
      <protection locked="0"/>
    </xf>
    <xf numFmtId="3" fontId="0" fillId="2" borderId="132" xfId="0" applyNumberFormat="1" applyFill="1" applyBorder="1" applyAlignment="1" applyProtection="1">
      <alignment horizontal="center" vertical="top" wrapText="1"/>
      <protection locked="0"/>
    </xf>
    <xf numFmtId="3" fontId="24" fillId="3" borderId="36" xfId="0" applyNumberFormat="1" applyFont="1" applyFill="1" applyBorder="1" applyAlignment="1">
      <alignment horizontal="center" wrapText="1"/>
    </xf>
    <xf numFmtId="2" fontId="0" fillId="9" borderId="72" xfId="0" applyNumberFormat="1" applyFill="1" applyBorder="1" applyAlignment="1">
      <alignment horizontal="center" wrapText="1"/>
    </xf>
    <xf numFmtId="2" fontId="0" fillId="9" borderId="6" xfId="0" applyNumberFormat="1" applyFill="1" applyBorder="1" applyAlignment="1">
      <alignment horizontal="center" wrapText="1"/>
    </xf>
    <xf numFmtId="1" fontId="24" fillId="11" borderId="6" xfId="0" applyNumberFormat="1" applyFont="1" applyFill="1" applyBorder="1" applyAlignment="1">
      <alignment horizontal="center" wrapText="1"/>
    </xf>
    <xf numFmtId="0" fontId="0" fillId="8" borderId="61" xfId="0" applyFill="1" applyBorder="1" applyAlignment="1">
      <alignment horizontal="left" wrapText="1"/>
    </xf>
    <xf numFmtId="0" fontId="35" fillId="0" borderId="163" xfId="0" applyFont="1" applyBorder="1" applyAlignment="1">
      <alignment horizontal="center" wrapText="1"/>
    </xf>
    <xf numFmtId="3" fontId="0" fillId="2" borderId="13" xfId="0" applyNumberFormat="1" applyFill="1" applyBorder="1" applyAlignment="1" applyProtection="1">
      <alignment horizontal="center" wrapText="1"/>
      <protection locked="0"/>
    </xf>
    <xf numFmtId="3" fontId="24" fillId="0" borderId="0" xfId="0" applyNumberFormat="1" applyFont="1" applyAlignment="1">
      <alignment horizontal="right" wrapText="1"/>
    </xf>
    <xf numFmtId="0" fontId="24" fillId="0" borderId="0" xfId="0" applyFont="1" applyAlignment="1">
      <alignment horizontal="left" wrapText="1"/>
    </xf>
    <xf numFmtId="0" fontId="0" fillId="8" borderId="0" xfId="0" applyFill="1" applyAlignment="1">
      <alignment horizontal="left" wrapText="1"/>
    </xf>
    <xf numFmtId="0" fontId="4" fillId="4" borderId="13" xfId="0" applyFont="1" applyFill="1" applyBorder="1" applyAlignment="1">
      <alignment horizontal="center" vertical="center" wrapText="1"/>
    </xf>
    <xf numFmtId="1" fontId="4" fillId="4" borderId="10" xfId="0" applyNumberFormat="1"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left" wrapText="1"/>
    </xf>
    <xf numFmtId="0" fontId="26" fillId="0" borderId="1" xfId="0" applyFont="1" applyBorder="1" applyAlignment="1">
      <alignment vertical="center" wrapText="1"/>
    </xf>
    <xf numFmtId="0" fontId="0" fillId="0" borderId="134" xfId="0" applyBorder="1" applyAlignment="1">
      <alignment wrapText="1"/>
    </xf>
    <xf numFmtId="3" fontId="0" fillId="8" borderId="1" xfId="0" applyNumberFormat="1" applyFill="1" applyBorder="1" applyAlignment="1">
      <alignment horizontal="center"/>
    </xf>
    <xf numFmtId="0" fontId="0" fillId="8" borderId="1" xfId="0" applyFill="1" applyBorder="1" applyAlignment="1">
      <alignment horizontal="center"/>
    </xf>
    <xf numFmtId="0" fontId="33" fillId="8" borderId="29" xfId="0" applyFont="1" applyFill="1" applyBorder="1" applyAlignment="1">
      <alignment wrapText="1"/>
    </xf>
    <xf numFmtId="1" fontId="0" fillId="9" borderId="31" xfId="0" applyNumberFormat="1" applyFill="1" applyBorder="1" applyAlignment="1">
      <alignment horizontal="center" wrapText="1"/>
    </xf>
    <xf numFmtId="0" fontId="24" fillId="8" borderId="1" xfId="0" applyFont="1" applyFill="1" applyBorder="1"/>
    <xf numFmtId="0" fontId="24" fillId="8" borderId="1" xfId="0" applyFont="1" applyFill="1" applyBorder="1" applyAlignment="1">
      <alignment horizontal="center" wrapText="1"/>
    </xf>
    <xf numFmtId="0" fontId="0" fillId="8" borderId="1" xfId="0" applyFill="1" applyBorder="1" applyAlignment="1">
      <alignment wrapText="1"/>
    </xf>
    <xf numFmtId="0" fontId="24" fillId="20" borderId="1" xfId="0" applyFont="1" applyFill="1" applyBorder="1" applyAlignment="1">
      <alignment wrapText="1"/>
    </xf>
    <xf numFmtId="0" fontId="24" fillId="20" borderId="1" xfId="0" applyFont="1" applyFill="1" applyBorder="1"/>
    <xf numFmtId="0" fontId="22" fillId="22" borderId="1" xfId="1" applyFill="1" applyBorder="1" applyProtection="1"/>
    <xf numFmtId="3" fontId="0" fillId="22" borderId="1" xfId="0" applyNumberFormat="1" applyFill="1" applyBorder="1" applyAlignment="1">
      <alignment horizontal="center" vertical="center"/>
    </xf>
    <xf numFmtId="0" fontId="22" fillId="22" borderId="1" xfId="1" applyFill="1" applyBorder="1" applyAlignment="1" applyProtection="1">
      <alignment horizontal="center" vertical="center"/>
    </xf>
    <xf numFmtId="0" fontId="0" fillId="22" borderId="1" xfId="0" applyFill="1" applyBorder="1" applyAlignment="1">
      <alignment horizontal="center" vertical="center"/>
    </xf>
    <xf numFmtId="0" fontId="38" fillId="0" borderId="153" xfId="0" applyFont="1" applyBorder="1" applyAlignment="1">
      <alignment horizontal="right"/>
    </xf>
    <xf numFmtId="0" fontId="74" fillId="8" borderId="0" xfId="0" applyFont="1" applyFill="1"/>
    <xf numFmtId="0" fontId="74" fillId="8" borderId="28" xfId="0" applyFont="1" applyFill="1" applyBorder="1"/>
    <xf numFmtId="0" fontId="74" fillId="8" borderId="76" xfId="0" applyFont="1" applyFill="1" applyBorder="1"/>
    <xf numFmtId="0" fontId="74" fillId="8" borderId="77" xfId="0" applyFont="1" applyFill="1" applyBorder="1"/>
    <xf numFmtId="0" fontId="74" fillId="8" borderId="128" xfId="0" applyFont="1" applyFill="1" applyBorder="1"/>
    <xf numFmtId="0" fontId="74" fillId="8" borderId="26" xfId="0" applyFont="1" applyFill="1" applyBorder="1"/>
    <xf numFmtId="0" fontId="74" fillId="8" borderId="30" xfId="0" applyFont="1" applyFill="1" applyBorder="1"/>
    <xf numFmtId="0" fontId="74" fillId="8" borderId="0" xfId="0" applyFont="1" applyFill="1" applyAlignment="1">
      <alignment horizontal="right"/>
    </xf>
    <xf numFmtId="0" fontId="74" fillId="0" borderId="94" xfId="0" applyFont="1" applyBorder="1"/>
    <xf numFmtId="0" fontId="74" fillId="0" borderId="153" xfId="0" applyFont="1" applyBorder="1"/>
    <xf numFmtId="0" fontId="74" fillId="0" borderId="158" xfId="0" applyFont="1" applyBorder="1" applyAlignment="1">
      <alignment horizontal="left"/>
    </xf>
    <xf numFmtId="0" fontId="74" fillId="0" borderId="49" xfId="0" applyFont="1" applyBorder="1"/>
    <xf numFmtId="0" fontId="74" fillId="8" borderId="101" xfId="0" applyFont="1" applyFill="1" applyBorder="1"/>
    <xf numFmtId="0" fontId="74" fillId="8" borderId="100" xfId="0" applyFont="1" applyFill="1" applyBorder="1"/>
    <xf numFmtId="0" fontId="23" fillId="8" borderId="25" xfId="2" applyFill="1" applyBorder="1" applyAlignment="1" applyProtection="1">
      <alignment horizontal="center" vertical="center" wrapText="1"/>
      <protection locked="0"/>
    </xf>
    <xf numFmtId="0" fontId="23" fillId="8" borderId="164" xfId="2" applyFill="1" applyBorder="1" applyAlignment="1" applyProtection="1">
      <alignment horizontal="center" vertical="center" wrapText="1"/>
      <protection locked="0"/>
    </xf>
    <xf numFmtId="0" fontId="74" fillId="8" borderId="163" xfId="0" applyFont="1" applyFill="1" applyBorder="1" applyAlignment="1">
      <alignment horizontal="left"/>
    </xf>
    <xf numFmtId="0" fontId="74" fillId="8" borderId="25" xfId="0" applyFont="1" applyFill="1" applyBorder="1" applyAlignment="1">
      <alignment horizontal="left" wrapText="1"/>
    </xf>
    <xf numFmtId="0" fontId="74" fillId="8" borderId="164" xfId="0" applyFont="1" applyFill="1" applyBorder="1"/>
    <xf numFmtId="0" fontId="74" fillId="8" borderId="29" xfId="0" applyFont="1" applyFill="1" applyBorder="1"/>
    <xf numFmtId="0" fontId="22" fillId="0" borderId="15" xfId="1" applyBorder="1" applyAlignment="1" applyProtection="1">
      <alignment horizontal="center"/>
    </xf>
    <xf numFmtId="0" fontId="22" fillId="0" borderId="15" xfId="1" applyBorder="1" applyAlignment="1" applyProtection="1">
      <alignment horizontal="center" wrapText="1"/>
    </xf>
    <xf numFmtId="0" fontId="22" fillId="0" borderId="104" xfId="1" applyBorder="1" applyAlignment="1" applyProtection="1">
      <alignment horizontal="center"/>
    </xf>
    <xf numFmtId="38" fontId="80" fillId="9" borderId="1" xfId="0" applyNumberFormat="1" applyFont="1" applyFill="1" applyBorder="1" applyAlignment="1">
      <alignment horizontal="center"/>
    </xf>
    <xf numFmtId="3" fontId="38" fillId="2" borderId="1" xfId="0" applyNumberFormat="1" applyFont="1" applyFill="1" applyBorder="1" applyAlignment="1" applyProtection="1">
      <alignment horizontal="center"/>
      <protection locked="0"/>
    </xf>
    <xf numFmtId="0" fontId="38" fillId="0" borderId="155" xfId="0" applyFont="1" applyBorder="1" applyAlignment="1">
      <alignment horizontal="right"/>
    </xf>
    <xf numFmtId="38" fontId="81" fillId="12" borderId="151" xfId="0" applyNumberFormat="1" applyFont="1" applyFill="1" applyBorder="1" applyAlignment="1">
      <alignment horizontal="center"/>
    </xf>
    <xf numFmtId="38" fontId="80" fillId="9" borderId="35" xfId="0" applyNumberFormat="1" applyFont="1" applyFill="1" applyBorder="1" applyAlignment="1">
      <alignment horizontal="center"/>
    </xf>
    <xf numFmtId="3" fontId="38" fillId="2" borderId="35" xfId="0" applyNumberFormat="1" applyFont="1" applyFill="1" applyBorder="1" applyAlignment="1" applyProtection="1">
      <alignment horizontal="center"/>
      <protection locked="0"/>
    </xf>
    <xf numFmtId="0" fontId="38" fillId="0" borderId="3" xfId="0" applyFont="1" applyBorder="1" applyAlignment="1">
      <alignment horizontal="right"/>
    </xf>
    <xf numFmtId="0" fontId="38" fillId="0" borderId="155" xfId="0" applyFont="1" applyBorder="1" applyAlignment="1">
      <alignment horizontal="right" wrapText="1"/>
    </xf>
    <xf numFmtId="0" fontId="38" fillId="0" borderId="3" xfId="0" applyFont="1" applyBorder="1" applyAlignment="1">
      <alignment horizontal="right" wrapText="1"/>
    </xf>
    <xf numFmtId="38" fontId="81" fillId="12" borderId="143" xfId="0" applyNumberFormat="1" applyFont="1" applyFill="1" applyBorder="1" applyAlignment="1">
      <alignment horizontal="center"/>
    </xf>
    <xf numFmtId="0" fontId="22" fillId="0" borderId="54" xfId="1" applyBorder="1" applyAlignment="1" applyProtection="1">
      <alignment horizontal="center"/>
    </xf>
    <xf numFmtId="0" fontId="22" fillId="0" borderId="53" xfId="1" applyBorder="1" applyAlignment="1" applyProtection="1">
      <alignment horizontal="center"/>
    </xf>
    <xf numFmtId="164" fontId="80" fillId="9" borderId="1" xfId="0" applyNumberFormat="1" applyFont="1" applyFill="1" applyBorder="1" applyAlignment="1">
      <alignment horizontal="center"/>
    </xf>
    <xf numFmtId="164" fontId="80" fillId="9" borderId="35" xfId="0" applyNumberFormat="1" applyFont="1" applyFill="1" applyBorder="1" applyAlignment="1">
      <alignment horizontal="center"/>
    </xf>
    <xf numFmtId="0" fontId="82" fillId="8" borderId="0" xfId="0" applyFont="1" applyFill="1" applyAlignment="1">
      <alignment horizontal="left"/>
    </xf>
    <xf numFmtId="38" fontId="81" fillId="8" borderId="0" xfId="0" applyNumberFormat="1" applyFont="1" applyFill="1" applyAlignment="1">
      <alignment horizontal="center"/>
    </xf>
    <xf numFmtId="3" fontId="80" fillId="2" borderId="15" xfId="0" applyNumberFormat="1" applyFont="1" applyFill="1" applyBorder="1" applyAlignment="1" applyProtection="1">
      <alignment horizontal="center"/>
      <protection locked="0"/>
    </xf>
    <xf numFmtId="0" fontId="38" fillId="8" borderId="0" xfId="0" applyFont="1" applyFill="1" applyAlignment="1">
      <alignment horizontal="left"/>
    </xf>
    <xf numFmtId="0" fontId="22" fillId="0" borderId="50" xfId="1" applyBorder="1" applyAlignment="1" applyProtection="1">
      <alignment horizontal="left" wrapText="1"/>
    </xf>
    <xf numFmtId="0" fontId="22" fillId="8" borderId="0" xfId="1" applyFill="1" applyBorder="1" applyAlignment="1" applyProtection="1">
      <alignment horizontal="center"/>
    </xf>
    <xf numFmtId="0" fontId="22" fillId="0" borderId="52" xfId="1" applyBorder="1" applyAlignment="1" applyProtection="1">
      <alignment horizontal="left" wrapText="1"/>
    </xf>
    <xf numFmtId="38" fontId="81" fillId="8" borderId="0" xfId="0" applyNumberFormat="1" applyFont="1" applyFill="1" applyAlignment="1">
      <alignment horizontal="left"/>
    </xf>
    <xf numFmtId="38" fontId="80" fillId="9" borderId="152" xfId="0" applyNumberFormat="1" applyFont="1" applyFill="1" applyBorder="1" applyAlignment="1">
      <alignment horizontal="center"/>
    </xf>
    <xf numFmtId="0" fontId="38" fillId="0" borderId="155" xfId="0" applyFont="1" applyBorder="1" applyAlignment="1">
      <alignment horizontal="right" vertical="center"/>
    </xf>
    <xf numFmtId="164" fontId="80" fillId="9" borderId="1" xfId="0" applyNumberFormat="1" applyFont="1" applyFill="1" applyBorder="1" applyAlignment="1">
      <alignment horizontal="center" wrapText="1"/>
    </xf>
    <xf numFmtId="3" fontId="38" fillId="8" borderId="156" xfId="0" applyNumberFormat="1" applyFont="1" applyFill="1" applyBorder="1" applyAlignment="1" applyProtection="1">
      <alignment horizontal="center"/>
      <protection locked="0"/>
    </xf>
    <xf numFmtId="3" fontId="38" fillId="8" borderId="151" xfId="0" applyNumberFormat="1" applyFont="1" applyFill="1" applyBorder="1" applyAlignment="1" applyProtection="1">
      <alignment horizontal="center"/>
      <protection locked="0"/>
    </xf>
    <xf numFmtId="38" fontId="81" fillId="9" borderId="4" xfId="0" applyNumberFormat="1" applyFont="1" applyFill="1" applyBorder="1" applyAlignment="1">
      <alignment horizontal="center"/>
    </xf>
    <xf numFmtId="38" fontId="81" fillId="9" borderId="1" xfId="0" applyNumberFormat="1" applyFont="1" applyFill="1" applyBorder="1" applyAlignment="1">
      <alignment horizontal="center"/>
    </xf>
    <xf numFmtId="38" fontId="81" fillId="9" borderId="33" xfId="0" applyNumberFormat="1" applyFont="1" applyFill="1" applyBorder="1" applyAlignment="1">
      <alignment horizontal="center"/>
    </xf>
    <xf numFmtId="38" fontId="81" fillId="9" borderId="32" xfId="0" applyNumberFormat="1" applyFont="1" applyFill="1" applyBorder="1" applyAlignment="1">
      <alignment horizontal="center"/>
    </xf>
    <xf numFmtId="38" fontId="81" fillId="12" borderId="58" xfId="0" applyNumberFormat="1" applyFont="1" applyFill="1" applyBorder="1" applyAlignment="1">
      <alignment horizontal="center"/>
    </xf>
    <xf numFmtId="38" fontId="34" fillId="9" borderId="15" xfId="0" applyNumberFormat="1" applyFont="1" applyFill="1" applyBorder="1" applyAlignment="1">
      <alignment horizontal="center"/>
    </xf>
    <xf numFmtId="3" fontId="26" fillId="2" borderId="15" xfId="0" applyNumberFormat="1" applyFont="1" applyFill="1" applyBorder="1" applyAlignment="1" applyProtection="1">
      <alignment horizontal="center"/>
      <protection locked="0"/>
    </xf>
    <xf numFmtId="38" fontId="84" fillId="12" borderId="104" xfId="0" applyNumberFormat="1" applyFont="1" applyFill="1" applyBorder="1" applyAlignment="1">
      <alignment horizontal="center"/>
    </xf>
    <xf numFmtId="38" fontId="84" fillId="12" borderId="151" xfId="0" applyNumberFormat="1" applyFont="1" applyFill="1" applyBorder="1" applyAlignment="1">
      <alignment horizontal="center"/>
    </xf>
    <xf numFmtId="0" fontId="38" fillId="8" borderId="27" xfId="0" applyFont="1" applyFill="1" applyBorder="1" applyAlignment="1">
      <alignment horizontal="left"/>
    </xf>
    <xf numFmtId="0" fontId="26" fillId="0" borderId="50" xfId="0" applyFont="1" applyBorder="1" applyAlignment="1">
      <alignment horizontal="center" vertical="center"/>
    </xf>
    <xf numFmtId="0" fontId="26" fillId="0" borderId="153" xfId="0" applyFont="1" applyBorder="1" applyAlignment="1">
      <alignment horizontal="center" vertical="center"/>
    </xf>
    <xf numFmtId="0" fontId="26" fillId="0" borderId="49" xfId="0" applyFont="1" applyBorder="1" applyAlignment="1">
      <alignment horizontal="center" vertical="center"/>
    </xf>
    <xf numFmtId="38" fontId="4" fillId="22" borderId="0" xfId="0" applyNumberFormat="1" applyFont="1" applyFill="1" applyAlignment="1">
      <alignment horizontal="center"/>
    </xf>
    <xf numFmtId="0" fontId="34" fillId="0" borderId="50" xfId="0" applyFont="1" applyBorder="1" applyAlignment="1">
      <alignment horizontal="center" vertical="center" wrapText="1"/>
    </xf>
    <xf numFmtId="0" fontId="34" fillId="0" borderId="144" xfId="0" applyFont="1" applyBorder="1" applyAlignment="1">
      <alignment horizontal="center" vertical="center" wrapText="1"/>
    </xf>
    <xf numFmtId="38" fontId="4" fillId="22" borderId="134" xfId="0" applyNumberFormat="1" applyFont="1" applyFill="1" applyBorder="1" applyAlignment="1">
      <alignment horizontal="center"/>
    </xf>
    <xf numFmtId="0" fontId="75" fillId="8" borderId="80" xfId="1" applyFont="1" applyFill="1" applyBorder="1" applyAlignment="1" applyProtection="1">
      <alignment horizontal="center" vertical="center" wrapText="1"/>
    </xf>
    <xf numFmtId="0" fontId="75" fillId="8" borderId="22" xfId="1" applyFont="1" applyFill="1" applyBorder="1" applyAlignment="1" applyProtection="1">
      <alignment horizontal="center" vertical="center"/>
    </xf>
    <xf numFmtId="0" fontId="75" fillId="8" borderId="129" xfId="1" applyFont="1" applyFill="1" applyBorder="1" applyAlignment="1" applyProtection="1">
      <alignment horizontal="center" vertical="center" wrapText="1"/>
    </xf>
    <xf numFmtId="0" fontId="75" fillId="8" borderId="17" xfId="1" applyFont="1" applyFill="1" applyBorder="1" applyAlignment="1" applyProtection="1">
      <alignment horizontal="center" vertical="center"/>
    </xf>
    <xf numFmtId="3" fontId="41" fillId="2" borderId="124" xfId="0" applyNumberFormat="1" applyFont="1" applyFill="1" applyBorder="1" applyAlignment="1" applyProtection="1">
      <alignment horizontal="center"/>
      <protection locked="0"/>
    </xf>
    <xf numFmtId="0" fontId="75" fillId="8" borderId="124" xfId="1" applyFont="1" applyFill="1" applyBorder="1" applyAlignment="1" applyProtection="1">
      <alignment horizontal="center" vertical="center" wrapText="1"/>
    </xf>
    <xf numFmtId="0" fontId="75" fillId="8" borderId="55" xfId="1" applyFont="1" applyFill="1" applyBorder="1" applyAlignment="1" applyProtection="1">
      <alignment horizontal="center" vertical="center" wrapText="1"/>
    </xf>
    <xf numFmtId="0" fontId="75" fillId="8" borderId="37" xfId="1" applyFont="1" applyFill="1" applyBorder="1" applyAlignment="1" applyProtection="1">
      <alignment horizontal="center" vertical="center"/>
    </xf>
    <xf numFmtId="0" fontId="75" fillId="8" borderId="56" xfId="1" applyFont="1" applyFill="1" applyBorder="1" applyAlignment="1" applyProtection="1">
      <alignment horizontal="center" vertical="center" wrapText="1"/>
    </xf>
    <xf numFmtId="0" fontId="75" fillId="8" borderId="57" xfId="1" applyFont="1" applyFill="1" applyBorder="1" applyAlignment="1" applyProtection="1">
      <alignment horizontal="center" vertical="center"/>
    </xf>
    <xf numFmtId="0" fontId="22" fillId="8" borderId="171" xfId="1" applyFill="1" applyBorder="1" applyProtection="1"/>
    <xf numFmtId="0" fontId="0" fillId="22" borderId="13" xfId="0" applyFill="1" applyBorder="1" applyAlignment="1">
      <alignment horizontal="center" vertical="center"/>
    </xf>
    <xf numFmtId="0" fontId="0" fillId="22" borderId="60" xfId="0" applyFill="1" applyBorder="1"/>
    <xf numFmtId="0" fontId="0" fillId="22" borderId="43" xfId="0" applyFill="1" applyBorder="1"/>
    <xf numFmtId="0" fontId="0" fillId="22" borderId="39" xfId="0" applyFill="1" applyBorder="1"/>
    <xf numFmtId="0" fontId="22" fillId="22" borderId="124" xfId="1" applyFill="1" applyBorder="1" applyAlignment="1" applyProtection="1">
      <alignment horizontal="center"/>
    </xf>
    <xf numFmtId="0" fontId="82" fillId="8" borderId="28" xfId="0" applyFont="1" applyFill="1" applyBorder="1" applyAlignment="1">
      <alignment horizontal="left"/>
    </xf>
    <xf numFmtId="0" fontId="82" fillId="8" borderId="27" xfId="0" applyFont="1" applyFill="1" applyBorder="1" applyAlignment="1">
      <alignment horizontal="left"/>
    </xf>
    <xf numFmtId="0" fontId="38" fillId="8" borderId="28" xfId="0" applyFont="1" applyFill="1" applyBorder="1" applyAlignment="1">
      <alignment horizontal="left"/>
    </xf>
    <xf numFmtId="0" fontId="38" fillId="8" borderId="26" xfId="0" applyFont="1" applyFill="1" applyBorder="1" applyAlignment="1">
      <alignment horizontal="left"/>
    </xf>
    <xf numFmtId="0" fontId="38" fillId="8" borderId="30" xfId="0" applyFont="1" applyFill="1" applyBorder="1" applyAlignment="1">
      <alignment horizontal="left"/>
    </xf>
    <xf numFmtId="0" fontId="79" fillId="0" borderId="77" xfId="1" applyFont="1" applyBorder="1" applyAlignment="1" applyProtection="1">
      <alignment horizontal="left" wrapText="1"/>
    </xf>
    <xf numFmtId="38" fontId="81" fillId="8" borderId="0" xfId="0" applyNumberFormat="1" applyFont="1" applyFill="1" applyAlignment="1">
      <alignment horizontal="left" wrapText="1"/>
    </xf>
    <xf numFmtId="0" fontId="85" fillId="8" borderId="0" xfId="1" applyFont="1" applyFill="1" applyBorder="1" applyAlignment="1" applyProtection="1">
      <alignment horizontal="left" vertical="center" wrapText="1"/>
    </xf>
    <xf numFmtId="0" fontId="74" fillId="8" borderId="133" xfId="0" applyFont="1" applyFill="1" applyBorder="1" applyAlignment="1">
      <alignment horizontal="left" wrapText="1"/>
    </xf>
    <xf numFmtId="0" fontId="86" fillId="0" borderId="67" xfId="0" applyFont="1" applyBorder="1" applyAlignment="1">
      <alignment vertical="center" wrapText="1"/>
    </xf>
    <xf numFmtId="0" fontId="86" fillId="0" borderId="81" xfId="0" applyFont="1" applyBorder="1" applyAlignment="1">
      <alignment vertical="center" wrapText="1"/>
    </xf>
    <xf numFmtId="0" fontId="86" fillId="0" borderId="61" xfId="0" applyFont="1" applyBorder="1" applyAlignment="1">
      <alignment vertical="center" wrapText="1"/>
    </xf>
    <xf numFmtId="0" fontId="86" fillId="0" borderId="43" xfId="0" applyFont="1" applyBorder="1" applyAlignment="1">
      <alignment vertical="center" wrapText="1"/>
    </xf>
    <xf numFmtId="0" fontId="86" fillId="0" borderId="29" xfId="0" applyFont="1" applyBorder="1" applyAlignment="1">
      <alignment vertical="center" wrapText="1"/>
    </xf>
    <xf numFmtId="0" fontId="86" fillId="0" borderId="26" xfId="0" applyFont="1" applyBorder="1" applyAlignment="1">
      <alignment vertical="center" wrapText="1"/>
    </xf>
    <xf numFmtId="0" fontId="86" fillId="0" borderId="30" xfId="0" applyFont="1" applyBorder="1" applyAlignment="1">
      <alignment vertical="center" wrapText="1"/>
    </xf>
    <xf numFmtId="0" fontId="86" fillId="0" borderId="0" xfId="0" applyFont="1" applyAlignment="1">
      <alignment vertical="center" wrapText="1"/>
    </xf>
    <xf numFmtId="0" fontId="85" fillId="8" borderId="0" xfId="1" applyFont="1" applyFill="1" applyBorder="1" applyAlignment="1" applyProtection="1">
      <alignment vertical="center" wrapText="1"/>
    </xf>
    <xf numFmtId="3" fontId="0" fillId="22" borderId="132" xfId="0" applyNumberFormat="1" applyFill="1" applyBorder="1" applyAlignment="1">
      <alignment horizontal="center" vertical="center"/>
    </xf>
    <xf numFmtId="38" fontId="34" fillId="9" borderId="132" xfId="0" applyNumberFormat="1" applyFont="1" applyFill="1" applyBorder="1" applyAlignment="1">
      <alignment horizontal="center"/>
    </xf>
    <xf numFmtId="3" fontId="26" fillId="2" borderId="132" xfId="0" applyNumberFormat="1" applyFont="1" applyFill="1" applyBorder="1" applyAlignment="1" applyProtection="1">
      <alignment horizontal="center"/>
      <protection locked="0"/>
    </xf>
    <xf numFmtId="38" fontId="34" fillId="9" borderId="136" xfId="0" applyNumberFormat="1" applyFont="1" applyFill="1" applyBorder="1" applyAlignment="1">
      <alignment horizontal="center"/>
    </xf>
    <xf numFmtId="3" fontId="26" fillId="2" borderId="136" xfId="0" applyNumberFormat="1" applyFont="1" applyFill="1" applyBorder="1" applyAlignment="1" applyProtection="1">
      <alignment horizontal="center"/>
      <protection locked="0"/>
    </xf>
    <xf numFmtId="38" fontId="84" fillId="12" borderId="58" xfId="0" applyNumberFormat="1" applyFont="1" applyFill="1" applyBorder="1" applyAlignment="1">
      <alignment horizontal="center"/>
    </xf>
    <xf numFmtId="0" fontId="0" fillId="0" borderId="27" xfId="0" applyBorder="1"/>
    <xf numFmtId="38" fontId="80" fillId="9" borderId="132" xfId="0" applyNumberFormat="1" applyFont="1" applyFill="1" applyBorder="1" applyAlignment="1">
      <alignment horizontal="center"/>
    </xf>
    <xf numFmtId="3" fontId="38" fillId="2" borderId="132" xfId="0" applyNumberFormat="1" applyFont="1" applyFill="1" applyBorder="1" applyAlignment="1" applyProtection="1">
      <alignment horizontal="center"/>
      <protection locked="0"/>
    </xf>
    <xf numFmtId="38" fontId="80" fillId="9" borderId="136" xfId="0" applyNumberFormat="1" applyFont="1" applyFill="1" applyBorder="1" applyAlignment="1">
      <alignment horizontal="center"/>
    </xf>
    <xf numFmtId="3" fontId="38" fillId="2" borderId="136" xfId="0" applyNumberFormat="1" applyFont="1" applyFill="1" applyBorder="1" applyAlignment="1" applyProtection="1">
      <alignment horizontal="center"/>
      <protection locked="0"/>
    </xf>
    <xf numFmtId="0" fontId="85" fillId="8" borderId="28" xfId="1" applyFont="1" applyFill="1" applyBorder="1" applyAlignment="1" applyProtection="1">
      <alignment horizontal="left" vertical="center" wrapText="1"/>
    </xf>
    <xf numFmtId="0" fontId="86" fillId="0" borderId="28" xfId="0" applyFont="1" applyBorder="1" applyAlignment="1">
      <alignment vertical="center" wrapText="1"/>
    </xf>
    <xf numFmtId="0" fontId="75" fillId="8" borderId="102" xfId="1" applyFont="1" applyFill="1" applyBorder="1" applyAlignment="1" applyProtection="1">
      <alignment vertical="center" wrapText="1"/>
    </xf>
    <xf numFmtId="0" fontId="79" fillId="0" borderId="12" xfId="1" applyFont="1" applyBorder="1" applyAlignment="1" applyProtection="1">
      <alignment horizontal="left" wrapText="1"/>
    </xf>
    <xf numFmtId="0" fontId="0" fillId="0" borderId="0" xfId="0" applyAlignment="1">
      <alignment horizontal="center" vertical="center"/>
    </xf>
    <xf numFmtId="0" fontId="26" fillId="0" borderId="92" xfId="0" applyFont="1" applyBorder="1" applyAlignment="1">
      <alignment horizontal="center" vertical="center"/>
    </xf>
    <xf numFmtId="0" fontId="26" fillId="0" borderId="163" xfId="0" applyFont="1" applyBorder="1" applyAlignment="1">
      <alignment horizontal="center" vertical="center"/>
    </xf>
    <xf numFmtId="0" fontId="0" fillId="0" borderId="26" xfId="0" applyBorder="1"/>
    <xf numFmtId="0" fontId="0" fillId="0" borderId="28" xfId="0" applyBorder="1" applyAlignment="1">
      <alignment horizontal="center" vertical="center"/>
    </xf>
    <xf numFmtId="0" fontId="0" fillId="0" borderId="29" xfId="0" applyBorder="1"/>
    <xf numFmtId="0" fontId="0" fillId="0" borderId="30" xfId="0" applyBorder="1" applyAlignment="1">
      <alignment horizontal="center" vertical="center"/>
    </xf>
    <xf numFmtId="0" fontId="0" fillId="0" borderId="28" xfId="0" applyBorder="1" applyAlignment="1">
      <alignment horizontal="center" vertical="center" wrapText="1"/>
    </xf>
    <xf numFmtId="0" fontId="26" fillId="0" borderId="124" xfId="0" applyFont="1" applyBorder="1" applyAlignment="1">
      <alignment horizontal="center" vertical="center"/>
    </xf>
    <xf numFmtId="0" fontId="0" fillId="0" borderId="124" xfId="0" applyBorder="1" applyAlignment="1">
      <alignment horizontal="center" vertical="center"/>
    </xf>
    <xf numFmtId="0" fontId="0" fillId="0" borderId="124" xfId="0" applyBorder="1"/>
    <xf numFmtId="0" fontId="0" fillId="0" borderId="27" xfId="0" applyBorder="1" applyAlignment="1">
      <alignment wrapText="1"/>
    </xf>
    <xf numFmtId="3" fontId="0" fillId="0" borderId="0" xfId="0" applyNumberFormat="1" applyAlignment="1">
      <alignment horizontal="center" vertical="center"/>
    </xf>
    <xf numFmtId="0" fontId="0" fillId="0" borderId="0" xfId="0" applyProtection="1">
      <protection hidden="1"/>
    </xf>
    <xf numFmtId="0" fontId="0" fillId="0" borderId="0" xfId="0" applyAlignment="1" applyProtection="1">
      <alignment wrapText="1"/>
      <protection hidden="1"/>
    </xf>
    <xf numFmtId="0" fontId="0" fillId="0" borderId="28" xfId="0" applyBorder="1" applyAlignment="1" applyProtection="1">
      <alignment wrapText="1"/>
      <protection hidden="1"/>
    </xf>
    <xf numFmtId="0" fontId="0" fillId="0" borderId="26" xfId="0" applyBorder="1" applyAlignment="1">
      <alignment horizontal="center" vertical="center"/>
    </xf>
    <xf numFmtId="0" fontId="0" fillId="9" borderId="26" xfId="0" applyFill="1" applyBorder="1"/>
    <xf numFmtId="0" fontId="0" fillId="0" borderId="124" xfId="0" applyBorder="1" applyAlignment="1">
      <alignment horizontal="center"/>
    </xf>
    <xf numFmtId="0" fontId="0" fillId="20" borderId="0" xfId="0" applyFill="1"/>
    <xf numFmtId="0" fontId="88" fillId="0" borderId="0" xfId="0" applyFont="1" applyAlignment="1">
      <alignment horizontal="center" vertical="center" wrapText="1"/>
    </xf>
    <xf numFmtId="0" fontId="0" fillId="8" borderId="60" xfId="0" applyFill="1" applyBorder="1"/>
    <xf numFmtId="0" fontId="75" fillId="20" borderId="74" xfId="1" applyFont="1" applyFill="1" applyBorder="1" applyAlignment="1" applyProtection="1">
      <alignment horizontal="center" vertical="center" wrapText="1"/>
    </xf>
    <xf numFmtId="0" fontId="75" fillId="20" borderId="124" xfId="1" applyFont="1" applyFill="1" applyBorder="1" applyAlignment="1" applyProtection="1">
      <alignment horizontal="center" vertical="center" wrapText="1"/>
    </xf>
    <xf numFmtId="0" fontId="24" fillId="28" borderId="124" xfId="0" applyFont="1" applyFill="1" applyBorder="1" applyAlignment="1" applyProtection="1">
      <alignment horizontal="left" vertical="top" wrapText="1"/>
      <protection hidden="1"/>
    </xf>
    <xf numFmtId="0" fontId="26" fillId="0" borderId="174" xfId="0" applyFont="1" applyBorder="1" applyAlignment="1">
      <alignment horizontal="center" vertical="center"/>
    </xf>
    <xf numFmtId="0" fontId="26" fillId="0" borderId="102" xfId="0" applyFont="1" applyBorder="1" applyAlignment="1">
      <alignment horizontal="center" vertical="center"/>
    </xf>
    <xf numFmtId="0" fontId="0" fillId="20" borderId="74" xfId="0" applyFill="1" applyBorder="1"/>
    <xf numFmtId="0" fontId="0" fillId="20" borderId="73" xfId="0" applyFill="1" applyBorder="1"/>
    <xf numFmtId="0" fontId="0" fillId="20" borderId="39" xfId="0" applyFill="1" applyBorder="1"/>
    <xf numFmtId="38" fontId="94" fillId="20" borderId="43" xfId="0" applyNumberFormat="1" applyFont="1" applyFill="1" applyBorder="1" applyAlignment="1">
      <alignment horizontal="center" vertical="center"/>
    </xf>
    <xf numFmtId="0" fontId="79" fillId="0" borderId="124" xfId="1" applyFont="1" applyBorder="1" applyAlignment="1" applyProtection="1">
      <alignment horizontal="left" wrapText="1"/>
    </xf>
    <xf numFmtId="0" fontId="0" fillId="20" borderId="27" xfId="0" applyFill="1" applyBorder="1"/>
    <xf numFmtId="3" fontId="38" fillId="10" borderId="12" xfId="0" applyNumberFormat="1" applyFont="1" applyFill="1" applyBorder="1" applyAlignment="1" applyProtection="1">
      <alignment horizontal="center"/>
      <protection locked="0"/>
    </xf>
    <xf numFmtId="0" fontId="26" fillId="0" borderId="124" xfId="0" applyFont="1" applyBorder="1" applyAlignment="1">
      <alignment horizontal="center" vertical="center" wrapText="1"/>
    </xf>
    <xf numFmtId="0" fontId="0" fillId="0" borderId="27" xfId="0" applyBorder="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0" fillId="27" borderId="172" xfId="0" applyFill="1" applyBorder="1" applyAlignment="1" applyProtection="1">
      <alignment horizontal="center" vertical="center"/>
      <protection locked="0"/>
    </xf>
    <xf numFmtId="0" fontId="0" fillId="0" borderId="124"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0" fillId="24" borderId="172" xfId="0" applyFill="1" applyBorder="1" applyAlignment="1" applyProtection="1">
      <alignment horizontal="center" vertical="center" wrapText="1"/>
      <protection hidden="1"/>
    </xf>
    <xf numFmtId="0" fontId="0" fillId="0" borderId="124" xfId="0" applyBorder="1" applyAlignment="1" applyProtection="1">
      <alignment horizontal="center" vertical="center" wrapText="1"/>
      <protection hidden="1"/>
    </xf>
    <xf numFmtId="0" fontId="0" fillId="0" borderId="30" xfId="0" applyBorder="1" applyAlignment="1" applyProtection="1">
      <alignment horizontal="center" vertical="center" wrapText="1"/>
      <protection hidden="1"/>
    </xf>
    <xf numFmtId="38" fontId="34" fillId="9" borderId="124" xfId="0" applyNumberFormat="1" applyFont="1" applyFill="1" applyBorder="1" applyAlignment="1" applyProtection="1">
      <alignment horizontal="center" vertical="center"/>
      <protection hidden="1"/>
    </xf>
    <xf numFmtId="38" fontId="34" fillId="9" borderId="73" xfId="0" applyNumberFormat="1" applyFont="1" applyFill="1" applyBorder="1" applyAlignment="1" applyProtection="1">
      <alignment horizontal="center" vertical="center"/>
      <protection hidden="1"/>
    </xf>
    <xf numFmtId="38" fontId="34" fillId="9" borderId="39" xfId="0" applyNumberFormat="1" applyFont="1" applyFill="1" applyBorder="1" applyAlignment="1" applyProtection="1">
      <alignment horizontal="center" vertical="center"/>
      <protection hidden="1"/>
    </xf>
    <xf numFmtId="0" fontId="0" fillId="0" borderId="73" xfId="0" applyBorder="1" applyAlignment="1" applyProtection="1">
      <alignment horizontal="center" vertical="center" wrapText="1"/>
      <protection hidden="1"/>
    </xf>
    <xf numFmtId="0" fontId="0" fillId="0" borderId="73" xfId="0" applyBorder="1" applyAlignment="1" applyProtection="1">
      <alignment horizontal="center" vertical="center"/>
      <protection hidden="1"/>
    </xf>
    <xf numFmtId="0" fontId="0" fillId="24" borderId="175" xfId="0" applyFill="1" applyBorder="1" applyAlignment="1" applyProtection="1">
      <alignment horizontal="center" vertical="center" wrapText="1"/>
      <protection hidden="1"/>
    </xf>
    <xf numFmtId="0" fontId="26" fillId="0" borderId="29" xfId="0" applyFont="1" applyBorder="1" applyAlignment="1">
      <alignment horizontal="center" vertical="center"/>
    </xf>
    <xf numFmtId="0" fontId="26" fillId="0" borderId="176" xfId="0" applyFont="1" applyBorder="1" applyAlignment="1">
      <alignment horizontal="center" vertical="center"/>
    </xf>
    <xf numFmtId="0" fontId="0" fillId="24" borderId="124" xfId="0" applyFill="1" applyBorder="1" applyAlignment="1" applyProtection="1">
      <alignment horizontal="center" vertical="center" wrapText="1"/>
      <protection hidden="1"/>
    </xf>
    <xf numFmtId="1" fontId="0" fillId="0" borderId="29" xfId="0" applyNumberFormat="1" applyBorder="1" applyAlignment="1" applyProtection="1">
      <alignment horizontal="center" vertical="center" wrapText="1"/>
      <protection hidden="1"/>
    </xf>
    <xf numFmtId="1" fontId="0" fillId="0" borderId="39" xfId="0" applyNumberFormat="1" applyBorder="1" applyAlignment="1" applyProtection="1">
      <alignment horizontal="center" vertical="center"/>
      <protection hidden="1"/>
    </xf>
    <xf numFmtId="1" fontId="0" fillId="0" borderId="124" xfId="0" applyNumberFormat="1" applyBorder="1" applyAlignment="1" applyProtection="1">
      <alignment horizontal="center" vertical="center" wrapText="1"/>
      <protection hidden="1"/>
    </xf>
    <xf numFmtId="1" fontId="0" fillId="0" borderId="39" xfId="0" applyNumberFormat="1" applyBorder="1" applyAlignment="1" applyProtection="1">
      <alignment horizontal="center" vertical="center" wrapText="1"/>
      <protection hidden="1"/>
    </xf>
    <xf numFmtId="9" fontId="0" fillId="2" borderId="132" xfId="0" applyNumberFormat="1" applyFill="1" applyBorder="1" applyAlignment="1" applyProtection="1">
      <alignment horizontal="center"/>
      <protection locked="0"/>
    </xf>
    <xf numFmtId="3" fontId="0" fillId="2" borderId="150" xfId="0" applyNumberFormat="1" applyFill="1" applyBorder="1" applyAlignment="1" applyProtection="1">
      <alignment horizontal="center"/>
      <protection locked="0"/>
    </xf>
    <xf numFmtId="0" fontId="0" fillId="26" borderId="132" xfId="0" applyFill="1" applyBorder="1"/>
    <xf numFmtId="0" fontId="0" fillId="26" borderId="132" xfId="0" applyFill="1" applyBorder="1" applyAlignment="1">
      <alignment wrapText="1"/>
    </xf>
    <xf numFmtId="0" fontId="0" fillId="25" borderId="132" xfId="0" applyFill="1" applyBorder="1"/>
    <xf numFmtId="0" fontId="0" fillId="0" borderId="158" xfId="0" applyBorder="1" applyAlignment="1">
      <alignment horizontal="left" wrapText="1"/>
    </xf>
    <xf numFmtId="0" fontId="2" fillId="0" borderId="132" xfId="0" applyFont="1" applyBorder="1"/>
    <xf numFmtId="0" fontId="0" fillId="0" borderId="94" xfId="0" applyBorder="1" applyAlignment="1">
      <alignment wrapText="1"/>
    </xf>
    <xf numFmtId="38" fontId="81" fillId="20" borderId="4" xfId="0" applyNumberFormat="1" applyFont="1" applyFill="1" applyBorder="1" applyAlignment="1" applyProtection="1">
      <alignment horizontal="center"/>
      <protection hidden="1"/>
    </xf>
    <xf numFmtId="38" fontId="81" fillId="20" borderId="132" xfId="0" applyNumberFormat="1" applyFont="1" applyFill="1" applyBorder="1" applyAlignment="1" applyProtection="1">
      <alignment horizontal="center"/>
      <protection hidden="1"/>
    </xf>
    <xf numFmtId="38" fontId="81" fillId="20" borderId="33" xfId="0" applyNumberFormat="1" applyFont="1" applyFill="1" applyBorder="1" applyAlignment="1" applyProtection="1">
      <alignment horizontal="center"/>
      <protection hidden="1"/>
    </xf>
    <xf numFmtId="9" fontId="0" fillId="2" borderId="15" xfId="0" applyNumberFormat="1" applyFill="1" applyBorder="1" applyAlignment="1" applyProtection="1">
      <alignment horizontal="center"/>
      <protection locked="0"/>
    </xf>
    <xf numFmtId="0" fontId="34" fillId="9" borderId="150" xfId="0" quotePrefix="1" applyFont="1" applyFill="1" applyBorder="1" applyAlignment="1">
      <alignment horizontal="center"/>
    </xf>
    <xf numFmtId="0" fontId="0" fillId="27" borderId="124" xfId="0" applyFill="1" applyBorder="1" applyAlignment="1" applyProtection="1">
      <alignment horizontal="center"/>
      <protection locked="0"/>
    </xf>
    <xf numFmtId="0" fontId="0" fillId="27" borderId="175" xfId="0" applyFill="1" applyBorder="1" applyAlignment="1" applyProtection="1">
      <alignment horizontal="center"/>
      <protection locked="0"/>
    </xf>
    <xf numFmtId="0" fontId="0" fillId="0" borderId="178" xfId="0" applyBorder="1"/>
    <xf numFmtId="0" fontId="0" fillId="0" borderId="136" xfId="0" applyBorder="1" applyAlignment="1">
      <alignment horizontal="center" vertical="center"/>
    </xf>
    <xf numFmtId="0" fontId="0" fillId="0" borderId="179" xfId="0" applyBorder="1"/>
    <xf numFmtId="0" fontId="0" fillId="0" borderId="50" xfId="0" applyBorder="1"/>
    <xf numFmtId="0" fontId="0" fillId="0" borderId="15" xfId="0" applyBorder="1" applyAlignment="1">
      <alignment horizontal="center" vertical="center"/>
    </xf>
    <xf numFmtId="0" fontId="0" fillId="0" borderId="104" xfId="0" applyBorder="1" applyAlignment="1">
      <alignment horizontal="center"/>
    </xf>
    <xf numFmtId="0" fontId="24" fillId="20" borderId="124" xfId="0" applyFont="1" applyFill="1" applyBorder="1"/>
    <xf numFmtId="0" fontId="24" fillId="20" borderId="102" xfId="0" applyFont="1" applyFill="1" applyBorder="1" applyAlignment="1">
      <alignment horizontal="center" wrapText="1"/>
    </xf>
    <xf numFmtId="0" fontId="24" fillId="20" borderId="124" xfId="0" applyFont="1" applyFill="1" applyBorder="1" applyAlignment="1">
      <alignment horizontal="center"/>
    </xf>
    <xf numFmtId="0" fontId="24" fillId="20" borderId="81" xfId="0" applyFont="1" applyFill="1" applyBorder="1" applyAlignment="1">
      <alignment horizontal="center"/>
    </xf>
    <xf numFmtId="0" fontId="24" fillId="20" borderId="67" xfId="0" applyFont="1" applyFill="1" applyBorder="1" applyAlignment="1">
      <alignment horizontal="center"/>
    </xf>
    <xf numFmtId="0" fontId="0" fillId="8" borderId="15" xfId="0" applyFill="1" applyBorder="1" applyAlignment="1">
      <alignment horizontal="center"/>
    </xf>
    <xf numFmtId="0" fontId="0" fillId="8" borderId="15" xfId="0" applyFill="1" applyBorder="1" applyAlignment="1">
      <alignment horizontal="center" wrapText="1"/>
    </xf>
    <xf numFmtId="49" fontId="0" fillId="8" borderId="1" xfId="0" applyNumberFormat="1" applyFill="1" applyBorder="1" applyAlignment="1">
      <alignment horizontal="center"/>
    </xf>
    <xf numFmtId="0" fontId="0" fillId="8" borderId="1" xfId="0" applyFill="1" applyBorder="1" applyAlignment="1">
      <alignment horizontal="center" wrapText="1"/>
    </xf>
    <xf numFmtId="0" fontId="0" fillId="8" borderId="1" xfId="0" applyFill="1" applyBorder="1" applyAlignment="1">
      <alignment horizontal="center" vertical="center"/>
    </xf>
    <xf numFmtId="0" fontId="0" fillId="8" borderId="1" xfId="0" applyFill="1" applyBorder="1" applyAlignment="1">
      <alignment horizontal="left" vertical="center" wrapText="1"/>
    </xf>
    <xf numFmtId="0" fontId="0" fillId="20" borderId="28" xfId="0" applyFill="1" applyBorder="1" applyAlignment="1">
      <alignment horizontal="left" vertical="center"/>
    </xf>
    <xf numFmtId="0" fontId="0" fillId="11" borderId="172" xfId="0" applyFill="1" applyBorder="1" applyAlignment="1" applyProtection="1">
      <alignment horizontal="center" vertical="center" wrapText="1"/>
      <protection hidden="1"/>
    </xf>
    <xf numFmtId="0" fontId="0" fillId="11" borderId="172" xfId="0" applyFill="1" applyBorder="1" applyAlignment="1" applyProtection="1">
      <alignment horizontal="center" vertical="center"/>
      <protection hidden="1"/>
    </xf>
    <xf numFmtId="38" fontId="6" fillId="8" borderId="0" xfId="0" applyNumberFormat="1" applyFont="1" applyFill="1" applyAlignment="1">
      <alignment horizontal="left" wrapText="1"/>
    </xf>
    <xf numFmtId="0" fontId="0" fillId="27" borderId="173" xfId="0" applyFill="1" applyBorder="1" applyAlignment="1" applyProtection="1">
      <alignment horizontal="center"/>
      <protection locked="0"/>
    </xf>
    <xf numFmtId="0" fontId="0" fillId="8" borderId="9" xfId="0" applyFill="1" applyBorder="1" applyAlignment="1">
      <alignment wrapText="1"/>
    </xf>
    <xf numFmtId="0" fontId="0" fillId="8" borderId="10" xfId="0" applyFill="1" applyBorder="1" applyAlignment="1">
      <alignment wrapText="1"/>
    </xf>
    <xf numFmtId="0" fontId="27" fillId="0" borderId="1" xfId="1" applyFont="1" applyBorder="1" applyAlignment="1" applyProtection="1">
      <alignment horizontal="center" wrapText="1"/>
    </xf>
    <xf numFmtId="1" fontId="45" fillId="9" borderId="1" xfId="0" applyNumberFormat="1" applyFont="1" applyFill="1" applyBorder="1" applyAlignment="1">
      <alignment horizontal="center" vertical="center" wrapText="1"/>
    </xf>
    <xf numFmtId="0" fontId="45" fillId="9" borderId="36" xfId="0" applyFont="1" applyFill="1" applyBorder="1" applyAlignment="1">
      <alignment horizontal="center" vertical="center" wrapText="1"/>
    </xf>
    <xf numFmtId="38" fontId="45" fillId="9" borderId="47" xfId="0" applyNumberFormat="1" applyFont="1" applyFill="1" applyBorder="1" applyAlignment="1">
      <alignment horizontal="center" vertical="center" wrapText="1"/>
    </xf>
    <xf numFmtId="38" fontId="45" fillId="9" borderId="1" xfId="0" applyNumberFormat="1" applyFont="1" applyFill="1" applyBorder="1" applyAlignment="1">
      <alignment horizontal="center" vertical="center" wrapText="1"/>
    </xf>
    <xf numFmtId="38" fontId="45" fillId="9" borderId="129" xfId="0" applyNumberFormat="1" applyFont="1" applyFill="1" applyBorder="1" applyAlignment="1">
      <alignment horizontal="center" vertical="center" wrapText="1"/>
    </xf>
    <xf numFmtId="38" fontId="45" fillId="0" borderId="0" xfId="0" applyNumberFormat="1" applyFont="1" applyAlignment="1">
      <alignment horizontal="center" vertical="center" wrapText="1"/>
    </xf>
    <xf numFmtId="1" fontId="45" fillId="9" borderId="36" xfId="0" applyNumberFormat="1" applyFont="1" applyFill="1" applyBorder="1" applyAlignment="1">
      <alignment horizontal="center" vertical="center" wrapText="1"/>
    </xf>
    <xf numFmtId="38" fontId="45" fillId="9" borderId="148" xfId="0" applyNumberFormat="1" applyFont="1" applyFill="1" applyBorder="1" applyAlignment="1">
      <alignment horizontal="center" vertical="center" wrapText="1"/>
    </xf>
    <xf numFmtId="0" fontId="27" fillId="0" borderId="15" xfId="1" applyFont="1" applyBorder="1" applyAlignment="1" applyProtection="1">
      <alignment horizontal="center" wrapText="1"/>
    </xf>
    <xf numFmtId="38" fontId="4" fillId="9" borderId="1" xfId="0" applyNumberFormat="1" applyFont="1" applyFill="1" applyBorder="1" applyAlignment="1">
      <alignment horizontal="center" wrapText="1"/>
    </xf>
    <xf numFmtId="38" fontId="6" fillId="8" borderId="0" xfId="0" applyNumberFormat="1" applyFont="1" applyFill="1" applyAlignment="1">
      <alignment horizontal="center" wrapText="1"/>
    </xf>
    <xf numFmtId="0" fontId="0" fillId="8" borderId="101" xfId="0" applyFill="1" applyBorder="1" applyAlignment="1">
      <alignment wrapText="1"/>
    </xf>
    <xf numFmtId="1" fontId="34" fillId="9" borderId="1" xfId="0" quotePrefix="1" applyNumberFormat="1" applyFont="1" applyFill="1" applyBorder="1" applyAlignment="1">
      <alignment horizontal="center"/>
    </xf>
    <xf numFmtId="0" fontId="45" fillId="0" borderId="46" xfId="0" applyFont="1" applyBorder="1" applyAlignment="1">
      <alignment horizontal="right" vertical="center" wrapText="1"/>
    </xf>
    <xf numFmtId="0" fontId="55" fillId="0" borderId="0" xfId="0" applyFont="1" applyAlignment="1">
      <alignment horizontal="center" wrapText="1"/>
    </xf>
    <xf numFmtId="38" fontId="4" fillId="9" borderId="8" xfId="0" applyNumberFormat="1" applyFont="1" applyFill="1" applyBorder="1" applyAlignment="1">
      <alignment horizontal="center"/>
    </xf>
    <xf numFmtId="3" fontId="4" fillId="2" borderId="9" xfId="0" applyNumberFormat="1" applyFont="1" applyFill="1" applyBorder="1" applyAlignment="1" applyProtection="1">
      <alignment horizontal="center" wrapText="1"/>
      <protection locked="0"/>
    </xf>
    <xf numFmtId="0" fontId="65" fillId="0" borderId="0" xfId="0" applyFont="1" applyAlignment="1">
      <alignment vertical="center" wrapText="1"/>
    </xf>
    <xf numFmtId="0" fontId="65" fillId="0" borderId="28" xfId="0" applyFont="1" applyBorder="1" applyAlignment="1">
      <alignment vertical="center" wrapText="1"/>
    </xf>
    <xf numFmtId="0" fontId="2" fillId="0" borderId="55" xfId="0" applyFont="1" applyBorder="1" applyAlignment="1">
      <alignment horizontal="right" wrapText="1"/>
    </xf>
    <xf numFmtId="38" fontId="4" fillId="9" borderId="56" xfId="0" applyNumberFormat="1" applyFont="1" applyFill="1" applyBorder="1" applyAlignment="1">
      <alignment horizontal="center" wrapText="1"/>
    </xf>
    <xf numFmtId="3" fontId="2" fillId="11" borderId="56" xfId="0" applyNumberFormat="1" applyFont="1" applyFill="1" applyBorder="1" applyAlignment="1">
      <alignment horizontal="center" wrapText="1"/>
    </xf>
    <xf numFmtId="0" fontId="0" fillId="8" borderId="0" xfId="0" applyFill="1" applyAlignment="1">
      <alignment horizontal="right" wrapText="1"/>
    </xf>
    <xf numFmtId="38" fontId="0" fillId="8" borderId="0" xfId="0" applyNumberFormat="1" applyFill="1" applyAlignment="1">
      <alignment wrapText="1"/>
    </xf>
    <xf numFmtId="0" fontId="2" fillId="8" borderId="0" xfId="0" applyFont="1" applyFill="1" applyAlignment="1">
      <alignment horizontal="right" wrapText="1"/>
    </xf>
    <xf numFmtId="38" fontId="4" fillId="8" borderId="0" xfId="0" applyNumberFormat="1" applyFont="1" applyFill="1" applyAlignment="1">
      <alignment horizontal="center" wrapText="1"/>
    </xf>
    <xf numFmtId="3" fontId="2" fillId="8" borderId="0" xfId="0" applyNumberFormat="1" applyFont="1" applyFill="1" applyAlignment="1">
      <alignment horizontal="center" wrapText="1"/>
    </xf>
    <xf numFmtId="0" fontId="4" fillId="0" borderId="0" xfId="0" applyFont="1" applyAlignment="1">
      <alignment horizontal="right" wrapText="1"/>
    </xf>
    <xf numFmtId="0" fontId="0" fillId="8" borderId="76" xfId="0" applyFill="1" applyBorder="1" applyAlignment="1">
      <alignment wrapText="1"/>
    </xf>
    <xf numFmtId="0" fontId="24" fillId="8" borderId="26" xfId="0" applyFont="1" applyFill="1" applyBorder="1" applyAlignment="1">
      <alignment wrapText="1"/>
    </xf>
    <xf numFmtId="0" fontId="0" fillId="8" borderId="26" xfId="0" applyFill="1" applyBorder="1" applyAlignment="1">
      <alignment wrapText="1"/>
    </xf>
    <xf numFmtId="38" fontId="6" fillId="8" borderId="0" xfId="0" applyNumberFormat="1" applyFont="1" applyFill="1" applyAlignment="1">
      <alignment wrapText="1"/>
    </xf>
    <xf numFmtId="0" fontId="48" fillId="0" borderId="0" xfId="0" applyFont="1" applyAlignment="1">
      <alignment vertical="center" wrapText="1"/>
    </xf>
    <xf numFmtId="38" fontId="6" fillId="12" borderId="164" xfId="0" applyNumberFormat="1" applyFont="1" applyFill="1" applyBorder="1" applyAlignment="1">
      <alignment horizontal="center"/>
    </xf>
    <xf numFmtId="0" fontId="26" fillId="0" borderId="0" xfId="0" applyFont="1" applyAlignment="1">
      <alignment horizontal="right" vertical="center" wrapText="1"/>
    </xf>
    <xf numFmtId="38" fontId="6" fillId="8" borderId="182" xfId="0" applyNumberFormat="1" applyFont="1" applyFill="1" applyBorder="1" applyAlignment="1">
      <alignment wrapText="1"/>
    </xf>
    <xf numFmtId="0" fontId="2" fillId="0" borderId="178" xfId="0" applyFont="1" applyBorder="1" applyAlignment="1">
      <alignment horizontal="right" vertical="center" wrapText="1"/>
    </xf>
    <xf numFmtId="0" fontId="45" fillId="0" borderId="178" xfId="0" applyFont="1" applyBorder="1" applyAlignment="1">
      <alignment horizontal="right" vertical="center"/>
    </xf>
    <xf numFmtId="38" fontId="6" fillId="12" borderId="162" xfId="0" applyNumberFormat="1" applyFont="1" applyFill="1" applyBorder="1" applyAlignment="1">
      <alignment horizontal="center"/>
    </xf>
    <xf numFmtId="0" fontId="0" fillId="8" borderId="129" xfId="0" applyFill="1" applyBorder="1" applyAlignment="1">
      <alignment wrapText="1"/>
    </xf>
    <xf numFmtId="0" fontId="0" fillId="8" borderId="17" xfId="0" applyFill="1" applyBorder="1" applyAlignment="1">
      <alignment wrapText="1"/>
    </xf>
    <xf numFmtId="1" fontId="0" fillId="8" borderId="15" xfId="0" applyNumberFormat="1" applyFill="1" applyBorder="1" applyAlignment="1">
      <alignment horizontal="center" wrapText="1"/>
    </xf>
    <xf numFmtId="1" fontId="0" fillId="8" borderId="104" xfId="0" applyNumberFormat="1" applyFill="1" applyBorder="1" applyAlignment="1">
      <alignment horizontal="center" wrapText="1"/>
    </xf>
    <xf numFmtId="1" fontId="0" fillId="8" borderId="1" xfId="0" applyNumberFormat="1" applyFill="1" applyBorder="1" applyAlignment="1">
      <alignment horizontal="center" wrapText="1"/>
    </xf>
    <xf numFmtId="1" fontId="0" fillId="8" borderId="21" xfId="0" applyNumberFormat="1" applyFill="1" applyBorder="1" applyAlignment="1">
      <alignment horizontal="center" wrapText="1"/>
    </xf>
    <xf numFmtId="1" fontId="0" fillId="8" borderId="32" xfId="0" applyNumberFormat="1" applyFill="1" applyBorder="1" applyAlignment="1">
      <alignment horizontal="center" wrapText="1"/>
    </xf>
    <xf numFmtId="1" fontId="0" fillId="8" borderId="58" xfId="0" applyNumberFormat="1" applyFill="1" applyBorder="1" applyAlignment="1">
      <alignment horizontal="center" wrapText="1"/>
    </xf>
    <xf numFmtId="0" fontId="0" fillId="25" borderId="132" xfId="0" applyFill="1" applyBorder="1" applyAlignment="1">
      <alignment wrapText="1"/>
    </xf>
    <xf numFmtId="0" fontId="0" fillId="0" borderId="9" xfId="0" applyBorder="1" applyAlignment="1">
      <alignment wrapText="1"/>
    </xf>
    <xf numFmtId="0" fontId="0" fillId="0" borderId="11" xfId="0" applyBorder="1" applyAlignment="1">
      <alignment wrapText="1"/>
    </xf>
    <xf numFmtId="38" fontId="4" fillId="9" borderId="138" xfId="0" applyNumberFormat="1" applyFont="1" applyFill="1" applyBorder="1" applyAlignment="1">
      <alignment horizontal="center"/>
    </xf>
    <xf numFmtId="0" fontId="26" fillId="0" borderId="183" xfId="0" applyFont="1" applyBorder="1" applyAlignment="1">
      <alignment horizontal="center" vertical="center"/>
    </xf>
    <xf numFmtId="0" fontId="26" fillId="0" borderId="175" xfId="0" applyFont="1" applyBorder="1" applyAlignment="1">
      <alignment horizontal="center" vertical="center"/>
    </xf>
    <xf numFmtId="0" fontId="45" fillId="0" borderId="170" xfId="0" applyFont="1" applyBorder="1" applyAlignment="1">
      <alignment horizontal="right" vertical="center"/>
    </xf>
    <xf numFmtId="0" fontId="75" fillId="20" borderId="102" xfId="1" applyFont="1" applyFill="1" applyBorder="1" applyAlignment="1" applyProtection="1">
      <alignment horizontal="center" vertical="center" wrapText="1"/>
    </xf>
    <xf numFmtId="0" fontId="75" fillId="20" borderId="81" xfId="1" applyFont="1" applyFill="1" applyBorder="1" applyAlignment="1" applyProtection="1">
      <alignment horizontal="center" vertical="center" wrapText="1"/>
    </xf>
    <xf numFmtId="0" fontId="45" fillId="0" borderId="50" xfId="0" applyFont="1" applyBorder="1" applyAlignment="1">
      <alignment horizontal="right" vertical="center"/>
    </xf>
    <xf numFmtId="0" fontId="45" fillId="0" borderId="177" xfId="0" applyFont="1" applyBorder="1" applyAlignment="1">
      <alignment horizontal="right" vertical="center" wrapText="1"/>
    </xf>
    <xf numFmtId="0" fontId="45" fillId="0" borderId="177" xfId="0" applyFont="1" applyBorder="1" applyAlignment="1">
      <alignment horizontal="right" vertical="center"/>
    </xf>
    <xf numFmtId="38" fontId="6" fillId="0" borderId="184" xfId="0" applyNumberFormat="1" applyFont="1" applyBorder="1" applyAlignment="1">
      <alignment horizontal="center"/>
    </xf>
    <xf numFmtId="0" fontId="2" fillId="0" borderId="178" xfId="0" applyFont="1" applyBorder="1" applyAlignment="1">
      <alignment horizontal="right" wrapText="1"/>
    </xf>
    <xf numFmtId="38" fontId="6" fillId="13" borderId="179" xfId="0" applyNumberFormat="1" applyFont="1" applyFill="1" applyBorder="1" applyAlignment="1">
      <alignment horizontal="center"/>
    </xf>
    <xf numFmtId="38" fontId="6" fillId="12" borderId="184" xfId="0" applyNumberFormat="1" applyFont="1" applyFill="1" applyBorder="1" applyAlignment="1">
      <alignment horizontal="center"/>
    </xf>
    <xf numFmtId="0" fontId="26" fillId="0" borderId="27" xfId="0" applyFont="1" applyBorder="1" applyAlignment="1">
      <alignment horizontal="right" vertical="center" wrapText="1"/>
    </xf>
    <xf numFmtId="38" fontId="6" fillId="8" borderId="26" xfId="0" applyNumberFormat="1" applyFont="1" applyFill="1" applyBorder="1" applyAlignment="1">
      <alignment horizontal="left" wrapText="1"/>
    </xf>
    <xf numFmtId="1" fontId="45" fillId="9" borderId="21" xfId="0" applyNumberFormat="1" applyFont="1" applyFill="1" applyBorder="1" applyAlignment="1">
      <alignment horizontal="center" vertical="center"/>
    </xf>
    <xf numFmtId="0" fontId="45" fillId="8" borderId="1" xfId="0" applyFont="1" applyFill="1" applyBorder="1" applyAlignment="1">
      <alignment horizontal="right" wrapText="1"/>
    </xf>
    <xf numFmtId="0" fontId="45" fillId="15" borderId="36" xfId="0" applyFont="1" applyFill="1" applyBorder="1" applyAlignment="1" applyProtection="1">
      <alignment horizontal="center" vertical="center"/>
      <protection locked="0"/>
    </xf>
    <xf numFmtId="0" fontId="0" fillId="14" borderId="20" xfId="0" applyFill="1" applyBorder="1"/>
    <xf numFmtId="0" fontId="45" fillId="9" borderId="1" xfId="0" applyFont="1" applyFill="1" applyBorder="1" applyAlignment="1">
      <alignment horizontal="center" vertical="center"/>
    </xf>
    <xf numFmtId="0" fontId="0" fillId="0" borderId="21" xfId="0" applyBorder="1" applyAlignment="1">
      <alignment horizontal="center"/>
    </xf>
    <xf numFmtId="1" fontId="45" fillId="15" borderId="36" xfId="0" applyNumberFormat="1" applyFont="1" applyFill="1" applyBorder="1" applyAlignment="1" applyProtection="1">
      <alignment horizontal="center" vertical="center"/>
      <protection locked="0"/>
    </xf>
    <xf numFmtId="38" fontId="4" fillId="9" borderId="32" xfId="0" applyNumberFormat="1" applyFont="1" applyFill="1" applyBorder="1" applyAlignment="1">
      <alignment horizontal="center" wrapText="1"/>
    </xf>
    <xf numFmtId="3" fontId="2" fillId="13" borderId="32" xfId="0" applyNumberFormat="1" applyFont="1" applyFill="1" applyBorder="1" applyAlignment="1">
      <alignment horizontal="center" wrapText="1"/>
    </xf>
    <xf numFmtId="38" fontId="45" fillId="9" borderId="36" xfId="0" applyNumberFormat="1" applyFont="1" applyFill="1" applyBorder="1" applyAlignment="1">
      <alignment horizontal="center" vertical="center" wrapText="1"/>
    </xf>
    <xf numFmtId="38" fontId="4" fillId="9" borderId="36" xfId="0" applyNumberFormat="1" applyFont="1" applyFill="1" applyBorder="1" applyAlignment="1">
      <alignment horizontal="center"/>
    </xf>
    <xf numFmtId="3" fontId="4" fillId="2" borderId="32" xfId="0" applyNumberFormat="1" applyFont="1" applyFill="1" applyBorder="1" applyAlignment="1" applyProtection="1">
      <alignment horizontal="center" wrapText="1"/>
      <protection locked="0"/>
    </xf>
    <xf numFmtId="1" fontId="45" fillId="9" borderId="32" xfId="0" applyNumberFormat="1" applyFont="1" applyFill="1" applyBorder="1" applyAlignment="1">
      <alignment horizontal="center" vertical="center" wrapText="1"/>
    </xf>
    <xf numFmtId="3" fontId="4" fillId="2" borderId="1" xfId="0" applyNumberFormat="1" applyFont="1" applyFill="1" applyBorder="1" applyAlignment="1" applyProtection="1">
      <alignment horizontal="center" wrapText="1"/>
      <protection locked="0"/>
    </xf>
    <xf numFmtId="0" fontId="45" fillId="0" borderId="14" xfId="0" applyFont="1" applyBorder="1" applyAlignment="1">
      <alignment horizontal="right" vertical="center"/>
    </xf>
    <xf numFmtId="0" fontId="70" fillId="8" borderId="0" xfId="0" applyFont="1" applyFill="1" applyAlignment="1">
      <alignment wrapText="1"/>
    </xf>
    <xf numFmtId="0" fontId="2" fillId="0" borderId="2" xfId="0" applyFont="1" applyBorder="1" applyAlignment="1">
      <alignment horizontal="left" wrapText="1"/>
    </xf>
    <xf numFmtId="0" fontId="2" fillId="0" borderId="2" xfId="0" applyFont="1" applyBorder="1" applyAlignment="1">
      <alignment horizontal="right" wrapText="1"/>
    </xf>
    <xf numFmtId="38" fontId="6" fillId="8" borderId="27" xfId="0" applyNumberFormat="1" applyFont="1" applyFill="1" applyBorder="1" applyAlignment="1">
      <alignment horizontal="center"/>
    </xf>
    <xf numFmtId="0" fontId="0" fillId="8" borderId="164" xfId="0" applyFill="1" applyBorder="1"/>
    <xf numFmtId="3" fontId="38" fillId="8" borderId="104" xfId="0" applyNumberFormat="1" applyFont="1" applyFill="1" applyBorder="1" applyAlignment="1" applyProtection="1">
      <alignment horizontal="center"/>
      <protection locked="0"/>
    </xf>
    <xf numFmtId="0" fontId="0" fillId="0" borderId="60" xfId="0" applyBorder="1"/>
    <xf numFmtId="3" fontId="38" fillId="10" borderId="14" xfId="0" applyNumberFormat="1" applyFont="1" applyFill="1" applyBorder="1" applyAlignment="1" applyProtection="1">
      <alignment horizontal="center"/>
      <protection locked="0"/>
    </xf>
    <xf numFmtId="0" fontId="0" fillId="24" borderId="27" xfId="0" applyFill="1" applyBorder="1" applyAlignment="1">
      <alignment wrapText="1"/>
    </xf>
    <xf numFmtId="0" fontId="0" fillId="24" borderId="0" xfId="0" applyFill="1" applyAlignment="1">
      <alignment horizontal="center" vertical="center"/>
    </xf>
    <xf numFmtId="0" fontId="0" fillId="24" borderId="27" xfId="0" applyFill="1" applyBorder="1"/>
    <xf numFmtId="0" fontId="0" fillId="30" borderId="0" xfId="0" applyFill="1" applyAlignment="1">
      <alignment horizontal="center" vertical="center"/>
    </xf>
    <xf numFmtId="0" fontId="0" fillId="30" borderId="0" xfId="0" applyFill="1"/>
    <xf numFmtId="0" fontId="23" fillId="0" borderId="0" xfId="2" applyAlignment="1">
      <alignment vertical="center"/>
    </xf>
    <xf numFmtId="0" fontId="26" fillId="0" borderId="27" xfId="0" applyFont="1" applyBorder="1" applyAlignment="1">
      <alignment horizontal="center" vertical="center" wrapText="1"/>
    </xf>
    <xf numFmtId="3" fontId="38" fillId="10" borderId="154" xfId="0" applyNumberFormat="1" applyFont="1" applyFill="1" applyBorder="1" applyAlignment="1" applyProtection="1">
      <alignment horizontal="center" vertical="center"/>
      <protection locked="0"/>
    </xf>
    <xf numFmtId="0" fontId="0" fillId="27" borderId="173" xfId="0" applyFill="1" applyBorder="1" applyAlignment="1" applyProtection="1">
      <alignment horizontal="center" vertical="center"/>
      <protection locked="0"/>
    </xf>
    <xf numFmtId="2" fontId="0" fillId="0" borderId="0" xfId="0" applyNumberFormat="1"/>
    <xf numFmtId="0" fontId="26" fillId="8" borderId="0" xfId="0" applyFont="1" applyFill="1"/>
    <xf numFmtId="0" fontId="34" fillId="29" borderId="1" xfId="0" quotePrefix="1" applyFont="1" applyFill="1" applyBorder="1" applyAlignment="1" applyProtection="1">
      <alignment horizontal="center"/>
      <protection locked="0"/>
    </xf>
    <xf numFmtId="0" fontId="0" fillId="0" borderId="1" xfId="0" applyBorder="1" applyAlignment="1">
      <alignment horizontal="center" vertical="center" wrapText="1"/>
    </xf>
    <xf numFmtId="0" fontId="24" fillId="28" borderId="74" xfId="0" applyFont="1" applyFill="1" applyBorder="1" applyAlignment="1" applyProtection="1">
      <alignment horizontal="left" vertical="top" wrapText="1"/>
      <protection hidden="1"/>
    </xf>
    <xf numFmtId="0" fontId="75" fillId="20" borderId="29" xfId="1" applyFont="1" applyFill="1" applyBorder="1" applyAlignment="1" applyProtection="1">
      <alignment horizontal="center" vertical="center" wrapText="1"/>
    </xf>
    <xf numFmtId="0" fontId="75" fillId="20" borderId="73" xfId="1" applyFont="1" applyFill="1" applyBorder="1" applyAlignment="1" applyProtection="1">
      <alignment horizontal="center" vertical="center" wrapText="1"/>
    </xf>
    <xf numFmtId="14" fontId="65" fillId="0" borderId="0" xfId="0" applyNumberFormat="1" applyFont="1" applyAlignment="1">
      <alignment horizontal="left"/>
    </xf>
    <xf numFmtId="0" fontId="0" fillId="8" borderId="1" xfId="0" applyFill="1" applyBorder="1" applyAlignment="1">
      <alignment horizontal="left" wrapText="1"/>
    </xf>
    <xf numFmtId="0" fontId="98" fillId="0" borderId="0" xfId="0" applyFont="1" applyAlignment="1">
      <alignment horizontal="center"/>
    </xf>
    <xf numFmtId="14" fontId="0" fillId="0" borderId="0" xfId="0" applyNumberFormat="1" applyAlignment="1">
      <alignment horizontal="center"/>
    </xf>
    <xf numFmtId="167" fontId="0" fillId="2" borderId="132" xfId="0" applyNumberFormat="1" applyFill="1" applyBorder="1" applyAlignment="1" applyProtection="1">
      <alignment horizontal="center"/>
      <protection locked="0"/>
    </xf>
    <xf numFmtId="0" fontId="26" fillId="0" borderId="27" xfId="0" applyFont="1" applyBorder="1" applyAlignment="1">
      <alignment horizontal="center" vertical="center"/>
    </xf>
    <xf numFmtId="0" fontId="34" fillId="20" borderId="124" xfId="0" applyFont="1" applyFill="1" applyBorder="1" applyAlignment="1">
      <alignment horizontal="center" vertical="center" wrapText="1"/>
    </xf>
    <xf numFmtId="0" fontId="0" fillId="8" borderId="1" xfId="0" applyFill="1" applyBorder="1" applyAlignment="1">
      <alignment horizontal="center" vertical="top" wrapText="1"/>
    </xf>
    <xf numFmtId="0" fontId="0" fillId="8" borderId="1" xfId="0" applyFill="1" applyBorder="1" applyAlignment="1">
      <alignment horizontal="center" vertical="center" wrapText="1"/>
    </xf>
    <xf numFmtId="0" fontId="0" fillId="0" borderId="30" xfId="0" applyBorder="1" applyAlignment="1">
      <alignment horizontal="center"/>
    </xf>
    <xf numFmtId="0" fontId="0" fillId="8" borderId="50" xfId="0" applyFill="1" applyBorder="1"/>
    <xf numFmtId="49" fontId="26" fillId="8" borderId="104" xfId="0" applyNumberFormat="1" applyFont="1" applyFill="1" applyBorder="1" applyAlignment="1">
      <alignment horizontal="center" vertical="center" wrapText="1"/>
    </xf>
    <xf numFmtId="0" fontId="0" fillId="8" borderId="50" xfId="0" applyFill="1" applyBorder="1" applyAlignment="1">
      <alignment wrapText="1"/>
    </xf>
    <xf numFmtId="49" fontId="26" fillId="8" borderId="21" xfId="0" applyNumberFormat="1" applyFont="1" applyFill="1" applyBorder="1" applyAlignment="1">
      <alignment horizontal="center" vertical="center" wrapText="1"/>
    </xf>
    <xf numFmtId="0" fontId="0" fillId="8" borderId="21" xfId="0" applyFill="1" applyBorder="1" applyAlignment="1">
      <alignment horizontal="center"/>
    </xf>
    <xf numFmtId="0" fontId="0" fillId="8" borderId="20" xfId="0" applyFill="1" applyBorder="1"/>
    <xf numFmtId="0" fontId="88" fillId="8" borderId="20" xfId="0" applyFont="1" applyFill="1" applyBorder="1" applyAlignment="1">
      <alignment horizontal="left" wrapText="1"/>
    </xf>
    <xf numFmtId="0" fontId="88" fillId="8" borderId="20" xfId="0" applyFont="1" applyFill="1" applyBorder="1"/>
    <xf numFmtId="0" fontId="24" fillId="8" borderId="20" xfId="0" applyFont="1" applyFill="1" applyBorder="1" applyAlignment="1">
      <alignment horizontal="left"/>
    </xf>
    <xf numFmtId="0" fontId="0" fillId="8" borderId="20" xfId="0" applyFill="1" applyBorder="1" applyAlignment="1">
      <alignment horizontal="left"/>
    </xf>
    <xf numFmtId="0" fontId="0" fillId="8" borderId="20" xfId="0" applyFill="1" applyBorder="1" applyAlignment="1">
      <alignment horizontal="center"/>
    </xf>
    <xf numFmtId="49" fontId="72" fillId="0" borderId="1" xfId="0" applyNumberFormat="1" applyFont="1" applyBorder="1" applyAlignment="1">
      <alignment horizontal="center" vertical="center" wrapText="1"/>
    </xf>
    <xf numFmtId="0" fontId="0" fillId="8" borderId="20" xfId="0" applyFill="1" applyBorder="1" applyAlignment="1">
      <alignment horizontal="left" vertical="center" indent="3"/>
    </xf>
    <xf numFmtId="0" fontId="0" fillId="0" borderId="102" xfId="0" applyBorder="1" applyAlignment="1">
      <alignment horizontal="center"/>
    </xf>
    <xf numFmtId="0" fontId="0" fillId="0" borderId="26" xfId="0" applyBorder="1" applyAlignment="1">
      <alignment horizontal="center"/>
    </xf>
    <xf numFmtId="166" fontId="0" fillId="8" borderId="1" xfId="0" applyNumberFormat="1" applyFill="1" applyBorder="1" applyAlignment="1">
      <alignment horizontal="center"/>
    </xf>
    <xf numFmtId="0" fontId="107" fillId="0" borderId="1" xfId="0" applyFont="1" applyBorder="1" applyAlignment="1">
      <alignment horizontal="center" wrapText="1"/>
    </xf>
    <xf numFmtId="0" fontId="104" fillId="0" borderId="0" xfId="0" applyFont="1"/>
    <xf numFmtId="0" fontId="26" fillId="0" borderId="26" xfId="0" applyFont="1" applyBorder="1" applyAlignment="1">
      <alignment horizontal="center" vertical="center" wrapText="1"/>
    </xf>
    <xf numFmtId="0" fontId="0" fillId="0" borderId="67" xfId="0" applyBorder="1" applyAlignment="1">
      <alignment horizontal="center"/>
    </xf>
    <xf numFmtId="0" fontId="107" fillId="0" borderId="20" xfId="0" applyFont="1" applyBorder="1" applyAlignment="1">
      <alignment horizontal="center"/>
    </xf>
    <xf numFmtId="0" fontId="107" fillId="0" borderId="21" xfId="0" applyFont="1" applyBorder="1" applyAlignment="1">
      <alignment horizontal="center" wrapText="1"/>
    </xf>
    <xf numFmtId="0" fontId="0" fillId="0" borderId="20" xfId="0" applyBorder="1" applyAlignment="1">
      <alignment horizontal="center"/>
    </xf>
    <xf numFmtId="0" fontId="0" fillId="0" borderId="21" xfId="0" applyBorder="1" applyAlignment="1">
      <alignment horizontal="center" vertical="center" wrapText="1"/>
    </xf>
    <xf numFmtId="0" fontId="0" fillId="0" borderId="178" xfId="0" applyBorder="1" applyAlignment="1">
      <alignment horizontal="center"/>
    </xf>
    <xf numFmtId="0" fontId="0" fillId="0" borderId="50" xfId="0" applyBorder="1" applyAlignment="1">
      <alignment horizontal="center"/>
    </xf>
    <xf numFmtId="0" fontId="0" fillId="0" borderId="15" xfId="0" applyBorder="1" applyAlignment="1">
      <alignment horizontal="center" vertical="center" wrapText="1"/>
    </xf>
    <xf numFmtId="0" fontId="0" fillId="0" borderId="104" xfId="0" applyBorder="1" applyAlignment="1">
      <alignment horizontal="center" vertical="center" wrapText="1"/>
    </xf>
    <xf numFmtId="0" fontId="106" fillId="20" borderId="124" xfId="0" applyFont="1" applyFill="1" applyBorder="1" applyAlignment="1">
      <alignment horizontal="center" vertical="center"/>
    </xf>
    <xf numFmtId="0" fontId="106" fillId="20" borderId="124" xfId="0" applyFont="1" applyFill="1" applyBorder="1" applyAlignment="1">
      <alignment horizontal="center" vertical="center" wrapText="1"/>
    </xf>
    <xf numFmtId="0" fontId="107" fillId="0" borderId="50" xfId="0" applyFont="1" applyBorder="1" applyAlignment="1">
      <alignment horizontal="center"/>
    </xf>
    <xf numFmtId="0" fontId="107" fillId="0" borderId="15" xfId="0" applyFont="1" applyBorder="1" applyAlignment="1">
      <alignment horizontal="center" wrapText="1"/>
    </xf>
    <xf numFmtId="0" fontId="107" fillId="0" borderId="104" xfId="0" applyFont="1" applyBorder="1" applyAlignment="1">
      <alignment horizontal="center" wrapText="1"/>
    </xf>
    <xf numFmtId="0" fontId="0" fillId="8" borderId="10" xfId="0" applyFill="1" applyBorder="1" applyAlignment="1">
      <alignment horizontal="center"/>
    </xf>
    <xf numFmtId="49" fontId="26" fillId="8" borderId="124" xfId="0" applyNumberFormat="1" applyFont="1" applyFill="1" applyBorder="1" applyAlignment="1">
      <alignment horizontal="center" vertical="center" wrapText="1"/>
    </xf>
    <xf numFmtId="0" fontId="0" fillId="20" borderId="0" xfId="0" applyFill="1" applyAlignment="1">
      <alignment horizontal="left" vertical="center" wrapText="1" indent="4"/>
    </xf>
    <xf numFmtId="0" fontId="24" fillId="20" borderId="20" xfId="0" applyFont="1" applyFill="1" applyBorder="1"/>
    <xf numFmtId="49" fontId="34" fillId="20" borderId="13" xfId="0" applyNumberFormat="1" applyFont="1" applyFill="1" applyBorder="1" applyAlignment="1">
      <alignment horizontal="center" vertical="center" wrapText="1"/>
    </xf>
    <xf numFmtId="49" fontId="34" fillId="20" borderId="25" xfId="0" applyNumberFormat="1" applyFont="1" applyFill="1" applyBorder="1" applyAlignment="1">
      <alignment horizontal="center" vertical="center" wrapText="1"/>
    </xf>
    <xf numFmtId="49" fontId="34" fillId="20" borderId="45" xfId="0" applyNumberFormat="1" applyFont="1" applyFill="1" applyBorder="1" applyAlignment="1">
      <alignment horizontal="center" vertical="center" wrapText="1"/>
    </xf>
    <xf numFmtId="49" fontId="26" fillId="32" borderId="1" xfId="0" applyNumberFormat="1" applyFont="1" applyFill="1" applyBorder="1" applyAlignment="1">
      <alignment horizontal="center" vertical="center" wrapText="1"/>
    </xf>
    <xf numFmtId="0" fontId="0" fillId="0" borderId="1" xfId="0" applyBorder="1" applyAlignment="1">
      <alignment horizontal="center"/>
    </xf>
    <xf numFmtId="0" fontId="24" fillId="0" borderId="27" xfId="0" applyFont="1" applyBorder="1" applyAlignment="1">
      <alignment horizontal="left"/>
    </xf>
    <xf numFmtId="0" fontId="24" fillId="0" borderId="0" xfId="0" applyFont="1" applyAlignment="1">
      <alignment horizontal="left"/>
    </xf>
    <xf numFmtId="0" fontId="24" fillId="0" borderId="28" xfId="0" applyFont="1" applyBorder="1" applyAlignment="1">
      <alignment horizontal="left"/>
    </xf>
    <xf numFmtId="0" fontId="0" fillId="20" borderId="0" xfId="0" applyFill="1" applyAlignment="1">
      <alignment horizontal="center"/>
    </xf>
    <xf numFmtId="0" fontId="24" fillId="20" borderId="102" xfId="0" applyFont="1" applyFill="1" applyBorder="1" applyAlignment="1">
      <alignment horizontal="left"/>
    </xf>
    <xf numFmtId="0" fontId="24" fillId="20" borderId="67" xfId="0" applyFont="1" applyFill="1" applyBorder="1" applyAlignment="1">
      <alignment horizontal="left"/>
    </xf>
    <xf numFmtId="0" fontId="24" fillId="20" borderId="81" xfId="0" applyFont="1" applyFill="1" applyBorder="1" applyAlignment="1">
      <alignment horizontal="left"/>
    </xf>
    <xf numFmtId="3" fontId="0" fillId="0" borderId="0" xfId="0" applyNumberFormat="1"/>
    <xf numFmtId="3" fontId="0" fillId="2" borderId="1" xfId="0" applyNumberFormat="1" applyFill="1" applyBorder="1" applyAlignment="1" applyProtection="1">
      <alignment horizontal="center" vertical="center"/>
      <protection locked="0"/>
    </xf>
    <xf numFmtId="0" fontId="1" fillId="0" borderId="0" xfId="0" applyFont="1" applyAlignment="1">
      <alignment vertical="center" wrapText="1"/>
    </xf>
    <xf numFmtId="0" fontId="45" fillId="0" borderId="0" xfId="0" applyFont="1" applyAlignment="1">
      <alignment vertical="center" wrapText="1"/>
    </xf>
    <xf numFmtId="0" fontId="51" fillId="9" borderId="102" xfId="0" applyFont="1" applyFill="1" applyBorder="1" applyAlignment="1">
      <alignment vertical="center" wrapText="1"/>
    </xf>
    <xf numFmtId="0" fontId="51" fillId="9" borderId="81" xfId="0" applyFont="1" applyFill="1" applyBorder="1" applyAlignment="1">
      <alignment vertical="center" wrapText="1"/>
    </xf>
    <xf numFmtId="0" fontId="24" fillId="0" borderId="0" xfId="0" applyFont="1" applyAlignment="1">
      <alignment wrapText="1"/>
    </xf>
    <xf numFmtId="0" fontId="0" fillId="0" borderId="0" xfId="0"/>
    <xf numFmtId="0" fontId="42" fillId="24" borderId="102" xfId="0" applyFont="1" applyFill="1" applyBorder="1" applyAlignment="1">
      <alignment wrapText="1"/>
    </xf>
    <xf numFmtId="0" fontId="42" fillId="24" borderId="81" xfId="0" applyFont="1" applyFill="1" applyBorder="1" applyAlignment="1">
      <alignment wrapText="1"/>
    </xf>
    <xf numFmtId="0" fontId="4" fillId="0" borderId="0" xfId="3" applyFont="1" applyAlignment="1">
      <alignment horizontal="left"/>
    </xf>
    <xf numFmtId="0" fontId="51" fillId="9" borderId="61" xfId="0" applyFont="1" applyFill="1" applyBorder="1" applyAlignment="1">
      <alignment horizontal="left" vertical="center" wrapText="1"/>
    </xf>
    <xf numFmtId="0" fontId="50" fillId="0" borderId="0" xfId="0" applyFont="1"/>
    <xf numFmtId="0" fontId="1" fillId="0" borderId="0" xfId="0" applyFont="1" applyAlignment="1">
      <alignment wrapText="1"/>
    </xf>
    <xf numFmtId="0" fontId="45" fillId="0" borderId="0" xfId="0" applyFont="1" applyAlignment="1">
      <alignment wrapText="1"/>
    </xf>
    <xf numFmtId="0" fontId="6" fillId="0" borderId="0" xfId="0" applyFont="1" applyAlignment="1">
      <alignment vertical="center" wrapText="1"/>
    </xf>
    <xf numFmtId="0" fontId="0" fillId="0" borderId="137" xfId="0" applyBorder="1" applyAlignment="1">
      <alignment wrapText="1"/>
    </xf>
    <xf numFmtId="0" fontId="0" fillId="0" borderId="134" xfId="0" applyBorder="1" applyAlignment="1">
      <alignment wrapText="1"/>
    </xf>
    <xf numFmtId="0" fontId="0" fillId="0" borderId="135" xfId="0" applyBorder="1" applyAlignment="1">
      <alignment wrapText="1"/>
    </xf>
    <xf numFmtId="0" fontId="0" fillId="0" borderId="177" xfId="0" applyBorder="1" applyAlignment="1">
      <alignment wrapText="1"/>
    </xf>
    <xf numFmtId="0" fontId="0" fillId="0" borderId="150" xfId="0" applyBorder="1" applyAlignment="1">
      <alignment wrapText="1"/>
    </xf>
    <xf numFmtId="0" fontId="0" fillId="0" borderId="153" xfId="0" applyBorder="1" applyAlignment="1">
      <alignment wrapText="1"/>
    </xf>
    <xf numFmtId="0" fontId="0" fillId="0" borderId="132" xfId="0" applyBorder="1" applyAlignment="1">
      <alignment wrapText="1"/>
    </xf>
    <xf numFmtId="0" fontId="68" fillId="8" borderId="10" xfId="0" applyFont="1" applyFill="1" applyBorder="1" applyAlignment="1">
      <alignment horizontal="center" wrapText="1"/>
    </xf>
    <xf numFmtId="0" fontId="68" fillId="8" borderId="11" xfId="0" applyFont="1" applyFill="1" applyBorder="1" applyAlignment="1">
      <alignment horizontal="center" wrapText="1"/>
    </xf>
    <xf numFmtId="0" fontId="68" fillId="8" borderId="45" xfId="0" applyFont="1" applyFill="1" applyBorder="1" applyAlignment="1">
      <alignment horizontal="center" wrapText="1"/>
    </xf>
    <xf numFmtId="0" fontId="0" fillId="0" borderId="20" xfId="0" applyBorder="1"/>
    <xf numFmtId="0" fontId="0" fillId="0" borderId="1" xfId="0" applyBorder="1"/>
    <xf numFmtId="0" fontId="0" fillId="0" borderId="23" xfId="0" applyBorder="1" applyAlignment="1">
      <alignment horizontal="left" vertical="center" wrapText="1"/>
    </xf>
    <xf numFmtId="0" fontId="0" fillId="0" borderId="25" xfId="0" applyBorder="1" applyAlignment="1">
      <alignment horizontal="left" vertical="center"/>
    </xf>
    <xf numFmtId="0" fontId="0" fillId="0" borderId="14" xfId="0" applyBorder="1" applyAlignment="1">
      <alignment horizontal="left" vertical="center"/>
    </xf>
    <xf numFmtId="3" fontId="52" fillId="2" borderId="86" xfId="0" applyNumberFormat="1" applyFont="1" applyFill="1" applyBorder="1" applyAlignment="1" applyProtection="1">
      <alignment horizontal="center"/>
      <protection locked="0"/>
    </xf>
    <xf numFmtId="0" fontId="0" fillId="0" borderId="87" xfId="0" applyBorder="1" applyAlignment="1">
      <alignment horizontal="center"/>
    </xf>
    <xf numFmtId="0" fontId="0" fillId="0" borderId="88" xfId="0" applyBorder="1" applyAlignment="1">
      <alignment horizontal="center"/>
    </xf>
    <xf numFmtId="0" fontId="0" fillId="0" borderId="1" xfId="0" applyBorder="1" applyAlignment="1">
      <alignment wrapText="1"/>
    </xf>
    <xf numFmtId="0" fontId="0" fillId="0" borderId="89" xfId="0" applyBorder="1"/>
    <xf numFmtId="0" fontId="0" fillId="0" borderId="90" xfId="0" applyBorder="1"/>
    <xf numFmtId="0" fontId="0" fillId="0" borderId="91" xfId="0" applyBorder="1"/>
    <xf numFmtId="0" fontId="0" fillId="0" borderId="10" xfId="0" applyBorder="1"/>
    <xf numFmtId="0" fontId="0" fillId="0" borderId="11" xfId="0" applyBorder="1"/>
    <xf numFmtId="0" fontId="0" fillId="0" borderId="45" xfId="0" applyBorder="1"/>
    <xf numFmtId="0" fontId="0" fillId="0" borderId="10" xfId="0" applyBorder="1" applyAlignment="1">
      <alignment wrapText="1"/>
    </xf>
    <xf numFmtId="0" fontId="0" fillId="0" borderId="11" xfId="0" applyBorder="1" applyAlignment="1">
      <alignment wrapText="1"/>
    </xf>
    <xf numFmtId="0" fontId="0" fillId="0" borderId="45" xfId="0" applyBorder="1" applyAlignment="1">
      <alignment wrapText="1"/>
    </xf>
    <xf numFmtId="0" fontId="0" fillId="0" borderId="94" xfId="0" applyBorder="1"/>
    <xf numFmtId="0" fontId="0" fillId="0" borderId="4" xfId="0" applyBorder="1"/>
    <xf numFmtId="0" fontId="24" fillId="0" borderId="10" xfId="0" applyFont="1" applyBorder="1" applyAlignment="1">
      <alignment wrapText="1"/>
    </xf>
    <xf numFmtId="0" fontId="24" fillId="0" borderId="11" xfId="0" applyFont="1" applyBorder="1" applyAlignment="1">
      <alignment wrapText="1"/>
    </xf>
    <xf numFmtId="0" fontId="24" fillId="0" borderId="45" xfId="0" applyFont="1" applyBorder="1" applyAlignment="1">
      <alignment wrapText="1"/>
    </xf>
    <xf numFmtId="0" fontId="67" fillId="19" borderId="83" xfId="0" applyFont="1" applyFill="1" applyBorder="1" applyAlignment="1">
      <alignment horizontal="center"/>
    </xf>
    <xf numFmtId="0" fontId="68" fillId="19" borderId="84" xfId="0" applyFont="1" applyFill="1" applyBorder="1" applyAlignment="1">
      <alignment horizontal="center"/>
    </xf>
    <xf numFmtId="0" fontId="68" fillId="19" borderId="85" xfId="0" applyFont="1" applyFill="1" applyBorder="1" applyAlignment="1">
      <alignment horizontal="center"/>
    </xf>
    <xf numFmtId="3" fontId="0" fillId="2" borderId="89" xfId="0" applyNumberFormat="1" applyFill="1" applyBorder="1" applyProtection="1">
      <protection locked="0"/>
    </xf>
    <xf numFmtId="0" fontId="0" fillId="0" borderId="93" xfId="0" applyBorder="1" applyProtection="1">
      <protection locked="0"/>
    </xf>
    <xf numFmtId="3" fontId="23" fillId="2" borderId="130" xfId="2" applyNumberFormat="1" applyFill="1" applyBorder="1" applyAlignment="1" applyProtection="1">
      <protection locked="0"/>
    </xf>
    <xf numFmtId="0" fontId="0" fillId="0" borderId="131" xfId="0" applyBorder="1" applyProtection="1">
      <protection locked="0"/>
    </xf>
    <xf numFmtId="0" fontId="0" fillId="8" borderId="0" xfId="0" applyFill="1" applyAlignment="1">
      <alignment horizontal="center" wrapText="1"/>
    </xf>
    <xf numFmtId="0" fontId="97" fillId="19" borderId="132" xfId="0" applyFont="1" applyFill="1" applyBorder="1" applyAlignment="1">
      <alignment horizontal="left" wrapText="1"/>
    </xf>
    <xf numFmtId="0" fontId="0" fillId="8" borderId="1" xfId="0" applyFill="1" applyBorder="1" applyAlignment="1">
      <alignment horizontal="left" vertical="center" wrapText="1"/>
    </xf>
    <xf numFmtId="0" fontId="23" fillId="0" borderId="1" xfId="2" applyFill="1" applyBorder="1" applyAlignment="1">
      <alignment horizontal="center" vertical="center"/>
    </xf>
    <xf numFmtId="0" fontId="0" fillId="0" borderId="1" xfId="0" applyBorder="1" applyAlignment="1">
      <alignment horizontal="center" vertical="center"/>
    </xf>
    <xf numFmtId="3" fontId="0" fillId="2" borderId="130" xfId="0" applyNumberFormat="1" applyFill="1" applyBorder="1" applyProtection="1">
      <protection locked="0"/>
    </xf>
    <xf numFmtId="0" fontId="0" fillId="0" borderId="20" xfId="0" applyBorder="1" applyAlignment="1">
      <alignment wrapText="1"/>
    </xf>
    <xf numFmtId="0" fontId="67" fillId="19" borderId="102" xfId="0" applyFont="1" applyFill="1" applyBorder="1" applyAlignment="1">
      <alignment horizontal="center" wrapText="1"/>
    </xf>
    <xf numFmtId="0" fontId="68" fillId="19" borderId="67" xfId="0" applyFont="1" applyFill="1" applyBorder="1" applyAlignment="1">
      <alignment horizontal="center" wrapText="1"/>
    </xf>
    <xf numFmtId="0" fontId="68" fillId="19" borderId="81" xfId="0" applyFont="1" applyFill="1" applyBorder="1" applyAlignment="1">
      <alignment horizontal="center" wrapText="1"/>
    </xf>
    <xf numFmtId="0" fontId="0" fillId="0" borderId="50" xfId="0" applyBorder="1" applyAlignment="1">
      <alignment wrapText="1"/>
    </xf>
    <xf numFmtId="0" fontId="0" fillId="0" borderId="15" xfId="0" applyBorder="1" applyAlignment="1">
      <alignment wrapText="1"/>
    </xf>
    <xf numFmtId="0" fontId="26" fillId="0" borderId="188" xfId="0" applyFont="1" applyBorder="1" applyAlignment="1">
      <alignment wrapText="1"/>
    </xf>
    <xf numFmtId="0" fontId="26" fillId="0" borderId="150" xfId="0" applyFont="1" applyBorder="1" applyAlignment="1">
      <alignment wrapText="1"/>
    </xf>
    <xf numFmtId="0" fontId="2" fillId="0" borderId="150" xfId="0" applyFont="1" applyBorder="1"/>
    <xf numFmtId="0" fontId="0" fillId="0" borderId="150" xfId="0" applyBorder="1"/>
    <xf numFmtId="0" fontId="0" fillId="0" borderId="189" xfId="0" applyBorder="1"/>
    <xf numFmtId="0" fontId="0" fillId="0" borderId="132" xfId="0" applyBorder="1" applyAlignment="1">
      <alignment horizontal="left" vertical="center" wrapText="1"/>
    </xf>
    <xf numFmtId="0" fontId="0" fillId="0" borderId="151" xfId="0" applyBorder="1" applyAlignment="1">
      <alignment horizontal="left" vertical="center" wrapText="1"/>
    </xf>
    <xf numFmtId="0" fontId="0" fillId="20" borderId="13" xfId="0" applyFill="1" applyBorder="1" applyAlignment="1">
      <alignment horizontal="center" wrapText="1"/>
    </xf>
    <xf numFmtId="0" fontId="0" fillId="20" borderId="14" xfId="0" applyFill="1" applyBorder="1" applyAlignment="1">
      <alignment horizontal="center" wrapText="1"/>
    </xf>
    <xf numFmtId="0" fontId="0" fillId="20" borderId="10" xfId="0" applyFill="1" applyBorder="1" applyAlignment="1">
      <alignment horizontal="center"/>
    </xf>
    <xf numFmtId="0" fontId="0" fillId="20" borderId="11" xfId="0" applyFill="1" applyBorder="1" applyAlignment="1">
      <alignment horizontal="center"/>
    </xf>
    <xf numFmtId="0" fontId="26" fillId="0" borderId="13" xfId="0" applyFont="1" applyBorder="1"/>
    <xf numFmtId="0" fontId="26" fillId="0" borderId="25" xfId="0" applyFont="1" applyBorder="1"/>
    <xf numFmtId="0" fontId="26" fillId="0" borderId="164" xfId="0" applyFont="1" applyBorder="1"/>
    <xf numFmtId="0" fontId="34" fillId="0" borderId="0" xfId="0" applyFont="1" applyAlignment="1">
      <alignment wrapText="1"/>
    </xf>
    <xf numFmtId="0" fontId="24" fillId="8" borderId="27" xfId="0" applyFont="1" applyFill="1" applyBorder="1" applyAlignment="1">
      <alignment horizontal="center"/>
    </xf>
    <xf numFmtId="0" fontId="24" fillId="8" borderId="28" xfId="0" applyFont="1" applyFill="1" applyBorder="1" applyAlignment="1">
      <alignment horizontal="center"/>
    </xf>
    <xf numFmtId="3" fontId="0" fillId="2" borderId="13" xfId="0" applyNumberFormat="1" applyFill="1" applyBorder="1" applyAlignment="1" applyProtection="1">
      <alignment horizontal="center"/>
      <protection locked="0"/>
    </xf>
    <xf numFmtId="3" fontId="0" fillId="2" borderId="14" xfId="0" applyNumberFormat="1" applyFill="1" applyBorder="1" applyAlignment="1" applyProtection="1">
      <alignment horizontal="center"/>
      <protection locked="0"/>
    </xf>
    <xf numFmtId="0" fontId="34" fillId="0" borderId="1" xfId="0" applyFont="1" applyBorder="1" applyAlignment="1">
      <alignment wrapText="1"/>
    </xf>
    <xf numFmtId="0" fontId="0" fillId="0" borderId="13" xfId="0" applyBorder="1"/>
    <xf numFmtId="0" fontId="0" fillId="0" borderId="151" xfId="0" applyBorder="1"/>
    <xf numFmtId="0" fontId="26" fillId="0" borderId="106" xfId="0" applyFont="1" applyBorder="1"/>
    <xf numFmtId="0" fontId="26" fillId="0" borderId="26" xfId="0" applyFont="1" applyBorder="1"/>
    <xf numFmtId="0" fontId="26" fillId="0" borderId="30" xfId="0" applyFont="1" applyBorder="1"/>
    <xf numFmtId="0" fontId="24" fillId="8" borderId="29" xfId="0" applyFont="1" applyFill="1" applyBorder="1" applyAlignment="1">
      <alignment horizontal="center"/>
    </xf>
    <xf numFmtId="0" fontId="0" fillId="0" borderId="30" xfId="0" applyBorder="1" applyAlignment="1">
      <alignment horizontal="center"/>
    </xf>
    <xf numFmtId="0" fontId="26" fillId="0" borderId="20" xfId="0" applyFont="1" applyBorder="1" applyAlignment="1">
      <alignment vertical="center"/>
    </xf>
    <xf numFmtId="0" fontId="26" fillId="0" borderId="23" xfId="0" applyFont="1" applyBorder="1" applyAlignment="1">
      <alignment vertical="center"/>
    </xf>
    <xf numFmtId="0" fontId="26" fillId="0" borderId="25" xfId="0" applyFont="1" applyBorder="1" applyAlignment="1">
      <alignment vertical="center"/>
    </xf>
    <xf numFmtId="0" fontId="26" fillId="0" borderId="96" xfId="0" applyFont="1" applyBorder="1" applyAlignment="1">
      <alignment vertical="center"/>
    </xf>
    <xf numFmtId="0" fontId="11" fillId="19" borderId="102" xfId="0" applyFont="1" applyFill="1" applyBorder="1" applyAlignment="1">
      <alignment horizontal="center" wrapText="1"/>
    </xf>
    <xf numFmtId="0" fontId="0" fillId="19" borderId="67" xfId="0" applyFill="1" applyBorder="1" applyAlignment="1">
      <alignment horizontal="center"/>
    </xf>
    <xf numFmtId="0" fontId="0" fillId="19" borderId="81" xfId="0" applyFill="1" applyBorder="1" applyAlignment="1">
      <alignment horizontal="center"/>
    </xf>
    <xf numFmtId="0" fontId="0" fillId="0" borderId="25" xfId="0" applyBorder="1"/>
    <xf numFmtId="0" fontId="0" fillId="0" borderId="96" xfId="0" applyBorder="1"/>
    <xf numFmtId="0" fontId="26" fillId="0" borderId="23" xfId="0" applyFont="1" applyBorder="1" applyAlignment="1">
      <alignment vertical="center" wrapText="1"/>
    </xf>
    <xf numFmtId="0" fontId="26" fillId="0" borderId="25" xfId="0" applyFont="1" applyBorder="1" applyAlignment="1">
      <alignment wrapText="1"/>
    </xf>
    <xf numFmtId="0" fontId="26" fillId="0" borderId="14" xfId="0" applyFont="1" applyBorder="1" applyAlignment="1">
      <alignment wrapText="1"/>
    </xf>
    <xf numFmtId="0" fontId="9" fillId="0" borderId="13" xfId="0" applyFont="1" applyBorder="1" applyAlignment="1">
      <alignment wrapText="1"/>
    </xf>
    <xf numFmtId="0" fontId="26" fillId="0" borderId="82" xfId="0" applyFont="1" applyBorder="1" applyAlignment="1">
      <alignment wrapText="1"/>
    </xf>
    <xf numFmtId="0" fontId="0" fillId="0" borderId="82" xfId="0" applyBorder="1"/>
    <xf numFmtId="0" fontId="26" fillId="0" borderId="44" xfId="0" applyFont="1" applyBorder="1" applyAlignment="1">
      <alignment vertical="center"/>
    </xf>
    <xf numFmtId="0" fontId="0" fillId="0" borderId="36" xfId="0" applyBorder="1"/>
    <xf numFmtId="0" fontId="26" fillId="0" borderId="50" xfId="0" applyFont="1" applyBorder="1" applyAlignment="1">
      <alignment vertical="center"/>
    </xf>
    <xf numFmtId="0" fontId="0" fillId="0" borderId="15" xfId="0" applyBorder="1"/>
    <xf numFmtId="0" fontId="23" fillId="0" borderId="13" xfId="2" applyBorder="1" applyAlignment="1" applyProtection="1">
      <alignment horizontal="left" vertical="center" wrapText="1"/>
    </xf>
    <xf numFmtId="0" fontId="23" fillId="0" borderId="25" xfId="2" applyBorder="1" applyAlignment="1" applyProtection="1">
      <alignment horizontal="left" vertical="center" wrapText="1"/>
    </xf>
    <xf numFmtId="0" fontId="23" fillId="0" borderId="164" xfId="2" applyBorder="1" applyAlignment="1" applyProtection="1">
      <alignment horizontal="left" vertical="center" wrapText="1"/>
    </xf>
    <xf numFmtId="0" fontId="26" fillId="0" borderId="23" xfId="0" applyFont="1" applyBorder="1" applyAlignment="1">
      <alignment vertical="top" wrapText="1"/>
    </xf>
    <xf numFmtId="0" fontId="0" fillId="0" borderId="25" xfId="0" applyBorder="1" applyAlignment="1">
      <alignment vertical="top" wrapText="1"/>
    </xf>
    <xf numFmtId="0" fontId="0" fillId="0" borderId="14" xfId="0" applyBorder="1" applyAlignment="1">
      <alignment vertical="top" wrapText="1"/>
    </xf>
    <xf numFmtId="0" fontId="0" fillId="0" borderId="13" xfId="0" applyBorder="1" applyAlignment="1">
      <alignment vertical="top" wrapText="1"/>
    </xf>
    <xf numFmtId="0" fontId="0" fillId="0" borderId="82" xfId="0" applyBorder="1" applyAlignment="1">
      <alignment vertical="top" wrapText="1"/>
    </xf>
    <xf numFmtId="0" fontId="26" fillId="0" borderId="50" xfId="0" applyFont="1" applyBorder="1" applyAlignment="1">
      <alignment vertical="center" wrapText="1"/>
    </xf>
    <xf numFmtId="0" fontId="26" fillId="0" borderId="99" xfId="0" applyFont="1" applyBorder="1" applyAlignment="1">
      <alignment vertical="center"/>
    </xf>
    <xf numFmtId="0" fontId="0" fillId="0" borderId="101" xfId="0" applyBorder="1"/>
    <xf numFmtId="0" fontId="0" fillId="0" borderId="105" xfId="0" applyBorder="1"/>
    <xf numFmtId="0" fontId="26" fillId="0" borderId="15" xfId="0" applyFont="1" applyBorder="1"/>
    <xf numFmtId="0" fontId="0" fillId="0" borderId="104" xfId="0" applyBorder="1"/>
    <xf numFmtId="0" fontId="35" fillId="8" borderId="27" xfId="0" applyFont="1" applyFill="1" applyBorder="1" applyAlignment="1">
      <alignment horizontal="left"/>
    </xf>
    <xf numFmtId="0" fontId="35" fillId="8" borderId="0" xfId="0" applyFont="1" applyFill="1" applyAlignment="1">
      <alignment horizontal="left"/>
    </xf>
    <xf numFmtId="0" fontId="34" fillId="0" borderId="99" xfId="0" applyFont="1" applyBorder="1" applyAlignment="1">
      <alignment horizontal="center"/>
    </xf>
    <xf numFmtId="0" fontId="0" fillId="0" borderId="100" xfId="0" applyBorder="1" applyAlignment="1">
      <alignment horizontal="center"/>
    </xf>
    <xf numFmtId="3" fontId="24" fillId="0" borderId="60" xfId="0" applyNumberFormat="1" applyFont="1" applyBorder="1" applyAlignment="1">
      <alignment horizontal="center"/>
    </xf>
    <xf numFmtId="0" fontId="0" fillId="0" borderId="61" xfId="0" applyBorder="1" applyAlignment="1">
      <alignment horizontal="center"/>
    </xf>
    <xf numFmtId="0" fontId="0" fillId="0" borderId="163" xfId="0" applyBorder="1" applyAlignment="1">
      <alignment horizontal="left"/>
    </xf>
    <xf numFmtId="0" fontId="0" fillId="0" borderId="25" xfId="0" applyBorder="1" applyAlignment="1">
      <alignment horizontal="left"/>
    </xf>
    <xf numFmtId="0" fontId="33" fillId="8" borderId="102" xfId="0" applyFont="1" applyFill="1" applyBorder="1" applyAlignment="1">
      <alignment horizontal="center"/>
    </xf>
    <xf numFmtId="0" fontId="33" fillId="8" borderId="81" xfId="0" applyFont="1" applyFill="1" applyBorder="1" applyAlignment="1">
      <alignment horizontal="center"/>
    </xf>
    <xf numFmtId="1" fontId="0" fillId="9" borderId="140" xfId="0" applyNumberFormat="1" applyFill="1" applyBorder="1" applyAlignment="1">
      <alignment horizontal="center"/>
    </xf>
    <xf numFmtId="1" fontId="0" fillId="9" borderId="68" xfId="0" applyNumberFormat="1" applyFill="1" applyBorder="1" applyAlignment="1">
      <alignment horizontal="center"/>
    </xf>
    <xf numFmtId="0" fontId="24" fillId="8" borderId="60" xfId="0" applyFont="1" applyFill="1" applyBorder="1" applyAlignment="1">
      <alignment horizontal="center"/>
    </xf>
    <xf numFmtId="0" fontId="0" fillId="0" borderId="43" xfId="0" applyBorder="1" applyAlignment="1">
      <alignment horizontal="center"/>
    </xf>
    <xf numFmtId="0" fontId="24" fillId="0" borderId="62" xfId="0" applyFont="1" applyBorder="1" applyAlignment="1">
      <alignment vertical="center"/>
    </xf>
    <xf numFmtId="0" fontId="24" fillId="0" borderId="95" xfId="0" applyFont="1" applyBorder="1" applyAlignment="1">
      <alignment vertical="center"/>
    </xf>
    <xf numFmtId="0" fontId="24" fillId="0" borderId="26" xfId="0" applyFont="1" applyBorder="1" applyAlignment="1">
      <alignment vertical="center"/>
    </xf>
    <xf numFmtId="0" fontId="24" fillId="0" borderId="30" xfId="0" applyFont="1" applyBorder="1" applyAlignment="1">
      <alignment vertical="center"/>
    </xf>
    <xf numFmtId="0" fontId="34" fillId="0" borderId="23" xfId="0" applyFont="1" applyBorder="1" applyAlignment="1">
      <alignment horizontal="left" vertical="center" wrapText="1"/>
    </xf>
    <xf numFmtId="0" fontId="24" fillId="0" borderId="25" xfId="0" applyFont="1" applyBorder="1" applyAlignment="1">
      <alignment horizontal="left" wrapText="1"/>
    </xf>
    <xf numFmtId="0" fontId="24" fillId="0" borderId="25" xfId="0" applyFont="1" applyBorder="1" applyAlignment="1">
      <alignment wrapText="1"/>
    </xf>
    <xf numFmtId="0" fontId="24" fillId="0" borderId="96" xfId="0" applyFont="1" applyBorder="1" applyAlignment="1">
      <alignment wrapText="1"/>
    </xf>
    <xf numFmtId="0" fontId="24" fillId="0" borderId="97" xfId="0" applyFont="1" applyBorder="1" applyAlignment="1">
      <alignment horizontal="left" wrapText="1"/>
    </xf>
    <xf numFmtId="0" fontId="24" fillId="0" borderId="66" xfId="0" applyFont="1" applyBorder="1" applyAlignment="1">
      <alignment horizontal="left" wrapText="1"/>
    </xf>
    <xf numFmtId="0" fontId="24" fillId="0" borderId="66" xfId="0" applyFont="1" applyBorder="1" applyAlignment="1">
      <alignment wrapText="1"/>
    </xf>
    <xf numFmtId="0" fontId="24" fillId="0" borderId="98" xfId="0" applyFont="1" applyBorder="1" applyAlignment="1">
      <alignment wrapText="1"/>
    </xf>
    <xf numFmtId="0" fontId="35" fillId="0" borderId="163" xfId="0" applyFont="1" applyBorder="1" applyAlignment="1">
      <alignment horizontal="left"/>
    </xf>
    <xf numFmtId="0" fontId="34" fillId="0" borderId="23" xfId="0" applyFont="1" applyBorder="1" applyAlignment="1">
      <alignment horizontal="left" vertical="center"/>
    </xf>
    <xf numFmtId="0" fontId="0" fillId="0" borderId="96" xfId="0" applyBorder="1" applyAlignment="1">
      <alignment horizontal="left"/>
    </xf>
    <xf numFmtId="1" fontId="0" fillId="9" borderId="127" xfId="0" applyNumberFormat="1" applyFill="1" applyBorder="1" applyAlignment="1">
      <alignment horizontal="center"/>
    </xf>
    <xf numFmtId="1" fontId="0" fillId="9" borderId="69" xfId="0" applyNumberFormat="1" applyFill="1" applyBorder="1" applyAlignment="1">
      <alignment horizontal="center"/>
    </xf>
    <xf numFmtId="3" fontId="52" fillId="2" borderId="60" xfId="0" applyNumberFormat="1" applyFont="1" applyFill="1" applyBorder="1" applyAlignment="1" applyProtection="1">
      <alignment horizontal="center"/>
      <protection locked="0"/>
    </xf>
    <xf numFmtId="0" fontId="26" fillId="0" borderId="130" xfId="0" applyFont="1" applyBorder="1"/>
    <xf numFmtId="0" fontId="26" fillId="0" borderId="133" xfId="0" applyFont="1" applyBorder="1"/>
    <xf numFmtId="0" fontId="26" fillId="0" borderId="131" xfId="0" applyFont="1" applyBorder="1"/>
    <xf numFmtId="0" fontId="0" fillId="0" borderId="135" xfId="0" applyBorder="1" applyAlignment="1">
      <alignment vertical="top" wrapText="1"/>
    </xf>
    <xf numFmtId="0" fontId="0" fillId="0" borderId="45" xfId="0" applyBorder="1" applyAlignment="1">
      <alignment vertical="top" wrapText="1"/>
    </xf>
    <xf numFmtId="0" fontId="24" fillId="8" borderId="43" xfId="0" applyFont="1" applyFill="1" applyBorder="1" applyAlignment="1">
      <alignment horizontal="center"/>
    </xf>
    <xf numFmtId="3" fontId="24" fillId="0" borderId="61" xfId="0" applyNumberFormat="1" applyFont="1" applyBorder="1" applyAlignment="1">
      <alignment horizontal="center"/>
    </xf>
    <xf numFmtId="3" fontId="24" fillId="0" borderId="26" xfId="0" applyNumberFormat="1" applyFont="1" applyBorder="1" applyAlignment="1">
      <alignment horizontal="center"/>
    </xf>
    <xf numFmtId="0" fontId="0" fillId="0" borderId="28" xfId="0" applyBorder="1" applyAlignment="1">
      <alignment horizontal="center"/>
    </xf>
    <xf numFmtId="0" fontId="0" fillId="19" borderId="61" xfId="0" applyFill="1" applyBorder="1" applyAlignment="1">
      <alignment horizontal="center"/>
    </xf>
    <xf numFmtId="0" fontId="24" fillId="18" borderId="63" xfId="0" applyFont="1" applyFill="1" applyBorder="1" applyAlignment="1">
      <alignment horizontal="center" vertical="center" wrapText="1"/>
    </xf>
    <xf numFmtId="0" fontId="0" fillId="0" borderId="103" xfId="0" applyBorder="1" applyAlignment="1">
      <alignment horizontal="center" vertical="center" wrapText="1"/>
    </xf>
    <xf numFmtId="0" fontId="0" fillId="0" borderId="64" xfId="0" applyBorder="1"/>
    <xf numFmtId="0" fontId="0" fillId="0" borderId="62" xfId="0" applyBorder="1"/>
    <xf numFmtId="0" fontId="0" fillId="0" borderId="95" xfId="0" applyBorder="1"/>
    <xf numFmtId="0" fontId="35" fillId="8" borderId="92" xfId="0" applyFont="1" applyFill="1" applyBorder="1" applyAlignment="1">
      <alignment horizontal="left"/>
    </xf>
    <xf numFmtId="0" fontId="35" fillId="8" borderId="11" xfId="0" applyFont="1" applyFill="1" applyBorder="1" applyAlignment="1">
      <alignment horizontal="left"/>
    </xf>
    <xf numFmtId="3" fontId="24" fillId="0" borderId="29" xfId="0" applyNumberFormat="1" applyFont="1" applyBorder="1" applyAlignment="1">
      <alignment horizontal="center"/>
    </xf>
    <xf numFmtId="0" fontId="0" fillId="0" borderId="26" xfId="0" applyBorder="1" applyAlignment="1">
      <alignment horizontal="center"/>
    </xf>
    <xf numFmtId="0" fontId="34" fillId="0" borderId="101" xfId="0" applyFont="1" applyBorder="1" applyAlignment="1">
      <alignment horizontal="center"/>
    </xf>
    <xf numFmtId="0" fontId="0" fillId="0" borderId="101" xfId="0" applyBorder="1" applyAlignment="1">
      <alignment horizontal="center"/>
    </xf>
    <xf numFmtId="0" fontId="0" fillId="8" borderId="74" xfId="0" applyFill="1" applyBorder="1" applyAlignment="1">
      <alignment wrapText="1"/>
    </xf>
    <xf numFmtId="0" fontId="0" fillId="8" borderId="73" xfId="0" applyFill="1" applyBorder="1" applyAlignment="1">
      <alignment wrapText="1"/>
    </xf>
    <xf numFmtId="3" fontId="52" fillId="2" borderId="113" xfId="0" applyNumberFormat="1" applyFont="1" applyFill="1" applyBorder="1" applyAlignment="1" applyProtection="1">
      <alignment horizontal="center"/>
      <protection locked="0"/>
    </xf>
    <xf numFmtId="0" fontId="0" fillId="0" borderId="114" xfId="0" applyBorder="1" applyAlignment="1">
      <alignment horizontal="center"/>
    </xf>
    <xf numFmtId="0" fontId="0" fillId="0" borderId="120" xfId="0" applyBorder="1" applyAlignment="1">
      <alignment horizontal="center"/>
    </xf>
    <xf numFmtId="0" fontId="0" fillId="0" borderId="107" xfId="0" applyBorder="1" applyAlignment="1">
      <alignment horizontal="left"/>
    </xf>
    <xf numFmtId="0" fontId="0" fillId="0" borderId="90" xfId="0" applyBorder="1" applyAlignment="1">
      <alignment horizontal="left"/>
    </xf>
    <xf numFmtId="0" fontId="0" fillId="0" borderId="93" xfId="0" applyBorder="1" applyAlignment="1">
      <alignment horizontal="left"/>
    </xf>
    <xf numFmtId="0" fontId="26" fillId="0" borderId="24" xfId="0" applyFont="1" applyBorder="1" applyAlignment="1">
      <alignment horizontal="left" wrapText="1"/>
    </xf>
    <xf numFmtId="0" fontId="25" fillId="0" borderId="25" xfId="0" applyFont="1" applyBorder="1" applyAlignment="1">
      <alignment horizontal="left" wrapText="1"/>
    </xf>
    <xf numFmtId="0" fontId="25" fillId="0" borderId="14" xfId="0" applyFont="1" applyBorder="1" applyAlignment="1">
      <alignment horizontal="left" wrapText="1"/>
    </xf>
    <xf numFmtId="0" fontId="0" fillId="0" borderId="116" xfId="0" applyBorder="1" applyAlignment="1">
      <alignment horizontal="left"/>
    </xf>
    <xf numFmtId="0" fontId="0" fillId="0" borderId="5" xfId="0" applyBorder="1" applyAlignment="1">
      <alignment horizontal="left"/>
    </xf>
    <xf numFmtId="0" fontId="0" fillId="0" borderId="34" xfId="0" applyBorder="1" applyAlignment="1">
      <alignment horizontal="left"/>
    </xf>
    <xf numFmtId="0" fontId="0" fillId="0" borderId="121" xfId="0" applyBorder="1" applyAlignment="1">
      <alignment horizontal="left"/>
    </xf>
    <xf numFmtId="0" fontId="0" fillId="0" borderId="169" xfId="0" applyBorder="1" applyAlignment="1">
      <alignment horizontal="left"/>
    </xf>
    <xf numFmtId="0" fontId="11" fillId="19" borderId="119" xfId="0" applyFont="1" applyFill="1" applyBorder="1" applyAlignment="1">
      <alignment horizontal="center" wrapText="1"/>
    </xf>
    <xf numFmtId="0" fontId="11" fillId="19" borderId="84" xfId="0" applyFont="1" applyFill="1" applyBorder="1" applyAlignment="1">
      <alignment horizontal="center" wrapText="1"/>
    </xf>
    <xf numFmtId="0" fontId="11" fillId="19" borderId="5" xfId="0" applyFont="1" applyFill="1" applyBorder="1" applyAlignment="1">
      <alignment horizontal="center" wrapText="1"/>
    </xf>
    <xf numFmtId="0" fontId="11" fillId="19" borderId="115" xfId="0" applyFont="1" applyFill="1" applyBorder="1" applyAlignment="1">
      <alignment horizontal="center" wrapText="1"/>
    </xf>
    <xf numFmtId="0" fontId="0" fillId="0" borderId="89" xfId="0" applyBorder="1" applyAlignment="1">
      <alignment horizontal="left"/>
    </xf>
    <xf numFmtId="0" fontId="0" fillId="0" borderId="108" xfId="0" applyBorder="1" applyAlignment="1">
      <alignment horizontal="left"/>
    </xf>
    <xf numFmtId="0" fontId="26" fillId="0" borderId="13" xfId="0" applyFont="1" applyBorder="1" applyAlignment="1">
      <alignment horizontal="left" wrapText="1"/>
    </xf>
    <xf numFmtId="0" fontId="25" fillId="0" borderId="79" xfId="0" applyFont="1"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0" fillId="0" borderId="14" xfId="0" applyBorder="1" applyAlignment="1">
      <alignment horizontal="left" wrapText="1"/>
    </xf>
    <xf numFmtId="0" fontId="73" fillId="0" borderId="13" xfId="0" applyFont="1" applyBorder="1" applyAlignment="1">
      <alignment horizontal="left" vertical="top" wrapText="1"/>
    </xf>
    <xf numFmtId="0" fontId="73" fillId="0" borderId="25" xfId="0" applyFont="1" applyBorder="1" applyAlignment="1">
      <alignment horizontal="left" vertical="top" wrapText="1"/>
    </xf>
    <xf numFmtId="0" fontId="73" fillId="0" borderId="79" xfId="0" applyFont="1" applyBorder="1" applyAlignment="1">
      <alignment horizontal="left" vertical="top" wrapText="1"/>
    </xf>
    <xf numFmtId="0" fontId="0" fillId="0" borderId="13" xfId="0" applyBorder="1" applyAlignment="1">
      <alignment horizontal="left"/>
    </xf>
    <xf numFmtId="0" fontId="0" fillId="0" borderId="79" xfId="0" applyBorder="1" applyAlignment="1">
      <alignment horizontal="left"/>
    </xf>
    <xf numFmtId="0" fontId="0" fillId="0" borderId="13" xfId="0" applyBorder="1" applyAlignment="1">
      <alignment horizontal="left" wrapText="1"/>
    </xf>
    <xf numFmtId="0" fontId="0" fillId="0" borderId="79" xfId="0" applyBorder="1" applyAlignment="1">
      <alignment horizontal="left" wrapText="1"/>
    </xf>
    <xf numFmtId="0" fontId="26" fillId="0" borderId="25" xfId="0" applyFont="1" applyBorder="1" applyAlignment="1">
      <alignment horizontal="left" wrapText="1"/>
    </xf>
    <xf numFmtId="0" fontId="26" fillId="0" borderId="79" xfId="0" applyFont="1" applyBorder="1" applyAlignment="1">
      <alignment horizontal="left" wrapText="1"/>
    </xf>
    <xf numFmtId="0" fontId="26" fillId="0" borderId="24" xfId="0" applyFont="1" applyBorder="1" applyAlignment="1">
      <alignment horizontal="center"/>
    </xf>
    <xf numFmtId="0" fontId="26" fillId="0" borderId="25" xfId="0" applyFont="1" applyBorder="1" applyAlignment="1">
      <alignment horizontal="center"/>
    </xf>
    <xf numFmtId="0" fontId="26" fillId="0" borderId="14" xfId="0" applyFont="1" applyBorder="1" applyAlignment="1">
      <alignment horizontal="center"/>
    </xf>
    <xf numFmtId="0" fontId="2" fillId="0" borderId="160" xfId="0" applyFont="1" applyBorder="1" applyAlignment="1">
      <alignment horizontal="right" wrapText="1"/>
    </xf>
    <xf numFmtId="0" fontId="2" fillId="0" borderId="161" xfId="0" applyFont="1" applyBorder="1" applyAlignment="1">
      <alignment horizontal="right" wrapText="1"/>
    </xf>
    <xf numFmtId="0" fontId="2" fillId="0" borderId="170" xfId="0" applyFont="1" applyBorder="1" applyAlignment="1">
      <alignment horizontal="right" wrapText="1"/>
    </xf>
    <xf numFmtId="0" fontId="2" fillId="0" borderId="25" xfId="0" applyFont="1" applyBorder="1"/>
    <xf numFmtId="0" fontId="0" fillId="0" borderId="111" xfId="0" applyBorder="1" applyAlignment="1">
      <alignment horizontal="left"/>
    </xf>
    <xf numFmtId="0" fontId="0" fillId="0" borderId="78" xfId="0" applyBorder="1" applyAlignment="1">
      <alignment horizontal="left"/>
    </xf>
    <xf numFmtId="0" fontId="0" fillId="0" borderId="118" xfId="0" applyBorder="1" applyAlignment="1">
      <alignment horizontal="left"/>
    </xf>
    <xf numFmtId="0" fontId="2" fillId="0" borderId="92"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0" fillId="0" borderId="14" xfId="0" applyBorder="1" applyAlignment="1">
      <alignment horizontal="left"/>
    </xf>
    <xf numFmtId="0" fontId="0" fillId="0" borderId="117" xfId="0" applyBorder="1" applyAlignment="1">
      <alignment horizontal="left"/>
    </xf>
    <xf numFmtId="0" fontId="0" fillId="0" borderId="7" xfId="0" applyBorder="1" applyAlignment="1">
      <alignment horizontal="left"/>
    </xf>
    <xf numFmtId="0" fontId="26" fillId="0" borderId="117" xfId="0" applyFont="1" applyBorder="1" applyAlignment="1">
      <alignment wrapText="1"/>
    </xf>
    <xf numFmtId="0" fontId="26" fillId="0" borderId="78" xfId="0" applyFont="1" applyBorder="1" applyAlignment="1">
      <alignment wrapText="1"/>
    </xf>
    <xf numFmtId="0" fontId="26" fillId="0" borderId="7" xfId="0" applyFont="1" applyBorder="1" applyAlignment="1">
      <alignment wrapText="1"/>
    </xf>
    <xf numFmtId="0" fontId="0" fillId="0" borderId="24" xfId="0" applyBorder="1" applyAlignment="1">
      <alignment horizontal="left"/>
    </xf>
    <xf numFmtId="0" fontId="2" fillId="0" borderId="13" xfId="0" applyFont="1" applyBorder="1"/>
    <xf numFmtId="0" fontId="2" fillId="0" borderId="79" xfId="0" applyFont="1" applyBorder="1"/>
    <xf numFmtId="0" fontId="11" fillId="19" borderId="113" xfId="0" applyFont="1" applyFill="1" applyBorder="1" applyAlignment="1">
      <alignment horizontal="center" wrapText="1"/>
    </xf>
    <xf numFmtId="0" fontId="11" fillId="19" borderId="114" xfId="0" applyFont="1" applyFill="1" applyBorder="1" applyAlignment="1">
      <alignment horizontal="center" wrapText="1"/>
    </xf>
    <xf numFmtId="0" fontId="11" fillId="19" borderId="116" xfId="0" applyFont="1" applyFill="1" applyBorder="1" applyAlignment="1">
      <alignment horizontal="center" wrapText="1"/>
    </xf>
    <xf numFmtId="0" fontId="11" fillId="19" borderId="169" xfId="0" applyFont="1" applyFill="1" applyBorder="1" applyAlignment="1">
      <alignment horizontal="center" wrapText="1"/>
    </xf>
    <xf numFmtId="0" fontId="2" fillId="0" borderId="13" xfId="0" applyFont="1" applyBorder="1" applyAlignment="1">
      <alignment wrapText="1"/>
    </xf>
    <xf numFmtId="0" fontId="2" fillId="0" borderId="25" xfId="0" applyFont="1" applyBorder="1" applyAlignment="1">
      <alignment wrapText="1"/>
    </xf>
    <xf numFmtId="0" fontId="2" fillId="0" borderId="79" xfId="0" applyFont="1" applyBorder="1" applyAlignment="1">
      <alignment wrapText="1"/>
    </xf>
    <xf numFmtId="0" fontId="3" fillId="0" borderId="90" xfId="0" applyFont="1" applyBorder="1" applyAlignment="1">
      <alignment horizontal="center"/>
    </xf>
    <xf numFmtId="0" fontId="3" fillId="0" borderId="114" xfId="0" applyFont="1" applyBorder="1" applyAlignment="1">
      <alignment horizontal="center"/>
    </xf>
    <xf numFmtId="0" fontId="3" fillId="0" borderId="108" xfId="0" applyFont="1" applyBorder="1" applyAlignment="1">
      <alignment horizontal="center"/>
    </xf>
    <xf numFmtId="0" fontId="2" fillId="0" borderId="117" xfId="0" applyFont="1" applyBorder="1"/>
    <xf numFmtId="0" fontId="2" fillId="0" borderId="78" xfId="0" applyFont="1" applyBorder="1"/>
    <xf numFmtId="0" fontId="2" fillId="0" borderId="13" xfId="0" applyFont="1" applyBorder="1" applyAlignment="1">
      <alignment horizontal="left"/>
    </xf>
    <xf numFmtId="0" fontId="2" fillId="0" borderId="25" xfId="0" applyFont="1" applyBorder="1" applyAlignment="1">
      <alignment horizontal="left"/>
    </xf>
    <xf numFmtId="0" fontId="2" fillId="0" borderId="14" xfId="0" applyFont="1" applyBorder="1" applyAlignment="1">
      <alignment horizontal="left"/>
    </xf>
    <xf numFmtId="0" fontId="49" fillId="0" borderId="25" xfId="0" applyFont="1" applyBorder="1"/>
    <xf numFmtId="0" fontId="49" fillId="0" borderId="79" xfId="0" applyFont="1" applyBorder="1"/>
    <xf numFmtId="0" fontId="2" fillId="0" borderId="13" xfId="0" applyFont="1" applyBorder="1" applyAlignment="1">
      <alignment horizontal="right"/>
    </xf>
    <xf numFmtId="0" fontId="2" fillId="0" borderId="25" xfId="0" applyFont="1" applyBorder="1" applyAlignment="1">
      <alignment horizontal="right"/>
    </xf>
    <xf numFmtId="0" fontId="2" fillId="0" borderId="14" xfId="0" applyFont="1" applyBorder="1" applyAlignment="1">
      <alignment horizontal="right"/>
    </xf>
    <xf numFmtId="0" fontId="11" fillId="20" borderId="102" xfId="0" applyFont="1" applyFill="1" applyBorder="1" applyAlignment="1">
      <alignment vertical="center" wrapText="1"/>
    </xf>
    <xf numFmtId="0" fontId="2" fillId="20" borderId="67" xfId="0" applyFont="1" applyFill="1" applyBorder="1" applyAlignment="1">
      <alignment vertical="center"/>
    </xf>
    <xf numFmtId="0" fontId="2" fillId="20" borderId="81" xfId="0" applyFont="1" applyFill="1" applyBorder="1" applyAlignment="1">
      <alignment vertical="center"/>
    </xf>
    <xf numFmtId="0" fontId="2" fillId="0" borderId="180" xfId="0" applyFont="1" applyBorder="1"/>
    <xf numFmtId="0" fontId="2" fillId="0" borderId="134" xfId="0" applyFont="1" applyBorder="1"/>
    <xf numFmtId="0" fontId="2" fillId="0" borderId="138" xfId="0" applyFont="1" applyBorder="1"/>
    <xf numFmtId="0" fontId="2" fillId="0" borderId="137" xfId="0" applyFont="1" applyBorder="1"/>
    <xf numFmtId="0" fontId="2" fillId="0" borderId="181" xfId="0" applyFont="1" applyBorder="1"/>
    <xf numFmtId="0" fontId="3" fillId="0" borderId="99" xfId="0" applyFont="1" applyBorder="1" applyAlignment="1">
      <alignment horizontal="center" vertical="center"/>
    </xf>
    <xf numFmtId="0" fontId="3" fillId="0" borderId="101" xfId="0" applyFont="1" applyBorder="1" applyAlignment="1">
      <alignment horizontal="center" vertical="center"/>
    </xf>
    <xf numFmtId="0" fontId="3" fillId="0" borderId="100" xfId="0" applyFont="1" applyBorder="1" applyAlignment="1">
      <alignment horizontal="center" vertical="center"/>
    </xf>
    <xf numFmtId="0" fontId="2" fillId="0" borderId="163" xfId="0" applyFont="1" applyBorder="1" applyAlignment="1">
      <alignment wrapText="1"/>
    </xf>
    <xf numFmtId="0" fontId="2" fillId="0" borderId="14" xfId="0" applyFont="1" applyBorder="1" applyAlignment="1">
      <alignment wrapText="1"/>
    </xf>
    <xf numFmtId="0" fontId="2" fillId="0" borderId="163" xfId="0" applyFont="1" applyBorder="1"/>
    <xf numFmtId="0" fontId="2" fillId="0" borderId="14" xfId="0" applyFont="1" applyBorder="1"/>
    <xf numFmtId="0" fontId="2" fillId="0" borderId="24" xfId="0" applyFont="1" applyBorder="1"/>
    <xf numFmtId="0" fontId="3" fillId="0" borderId="107" xfId="0" applyFont="1" applyBorder="1" applyAlignment="1">
      <alignment horizontal="center"/>
    </xf>
    <xf numFmtId="0" fontId="2" fillId="0" borderId="109" xfId="0" applyFont="1" applyBorder="1" applyAlignment="1">
      <alignment horizontal="left" vertical="center" wrapText="1"/>
    </xf>
    <xf numFmtId="0" fontId="2" fillId="0" borderId="134" xfId="0" applyFont="1" applyBorder="1" applyAlignment="1">
      <alignment horizontal="left" vertical="center" wrapText="1"/>
    </xf>
    <xf numFmtId="0" fontId="2" fillId="0" borderId="65" xfId="0" applyFont="1" applyBorder="1" applyAlignment="1">
      <alignment horizontal="left" vertical="center" wrapText="1"/>
    </xf>
    <xf numFmtId="0" fontId="2" fillId="0" borderId="1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4" fillId="8" borderId="163" xfId="0" applyFont="1" applyFill="1" applyBorder="1"/>
    <xf numFmtId="0" fontId="24" fillId="8" borderId="25" xfId="0" applyFont="1" applyFill="1" applyBorder="1"/>
    <xf numFmtId="0" fontId="24" fillId="8" borderId="164" xfId="0" applyFont="1" applyFill="1" applyBorder="1"/>
    <xf numFmtId="0" fontId="38" fillId="0" borderId="153" xfId="0" applyFont="1" applyBorder="1" applyAlignment="1">
      <alignment horizontal="right"/>
    </xf>
    <xf numFmtId="0" fontId="0" fillId="0" borderId="132" xfId="0" applyBorder="1" applyAlignment="1">
      <alignment horizontal="right"/>
    </xf>
    <xf numFmtId="3" fontId="38" fillId="2" borderId="130" xfId="0" applyNumberFormat="1" applyFont="1" applyFill="1" applyBorder="1" applyAlignment="1" applyProtection="1">
      <alignment horizontal="center"/>
      <protection locked="0"/>
    </xf>
    <xf numFmtId="0" fontId="0" fillId="0" borderId="131" xfId="0" applyBorder="1" applyAlignment="1" applyProtection="1">
      <alignment horizontal="center"/>
      <protection locked="0"/>
    </xf>
    <xf numFmtId="0" fontId="38" fillId="0" borderId="132" xfId="0" applyFont="1" applyBorder="1" applyAlignment="1">
      <alignment horizontal="right"/>
    </xf>
    <xf numFmtId="0" fontId="38" fillId="2" borderId="130" xfId="0" applyFont="1" applyFill="1" applyBorder="1" applyAlignment="1" applyProtection="1">
      <alignment horizontal="center"/>
      <protection locked="0"/>
    </xf>
    <xf numFmtId="0" fontId="38" fillId="0" borderId="130" xfId="0" applyFont="1" applyBorder="1" applyAlignment="1">
      <alignment horizontal="right"/>
    </xf>
    <xf numFmtId="0" fontId="38" fillId="0" borderId="133" xfId="0" applyFont="1" applyBorder="1" applyAlignment="1">
      <alignment horizontal="right"/>
    </xf>
    <xf numFmtId="0" fontId="38" fillId="0" borderId="131" xfId="0" applyFont="1" applyBorder="1" applyAlignment="1">
      <alignment horizontal="right"/>
    </xf>
    <xf numFmtId="0" fontId="83" fillId="0" borderId="10" xfId="0" applyFont="1" applyBorder="1" applyAlignment="1" applyProtection="1">
      <alignment horizontal="left" wrapText="1"/>
      <protection hidden="1"/>
    </xf>
    <xf numFmtId="0" fontId="0" fillId="0" borderId="11" xfId="0" applyBorder="1" applyAlignment="1" applyProtection="1">
      <alignment wrapText="1"/>
      <protection hidden="1"/>
    </xf>
    <xf numFmtId="0" fontId="0" fillId="0" borderId="45" xfId="0" applyBorder="1" applyAlignment="1" applyProtection="1">
      <alignment wrapText="1"/>
      <protection hidden="1"/>
    </xf>
    <xf numFmtId="0" fontId="80" fillId="0" borderId="33" xfId="0" applyFont="1" applyBorder="1" applyAlignment="1">
      <alignment horizontal="left"/>
    </xf>
    <xf numFmtId="0" fontId="24" fillId="0" borderId="33" xfId="0" applyFont="1" applyBorder="1"/>
    <xf numFmtId="0" fontId="24" fillId="0" borderId="159" xfId="0" applyFont="1" applyBorder="1"/>
    <xf numFmtId="0" fontId="38" fillId="0" borderId="157" xfId="0" applyFont="1" applyBorder="1" applyAlignment="1">
      <alignment horizontal="right"/>
    </xf>
    <xf numFmtId="0" fontId="0" fillId="0" borderId="122" xfId="0" applyBorder="1" applyAlignment="1">
      <alignment horizontal="right"/>
    </xf>
    <xf numFmtId="3" fontId="38" fillId="2" borderId="121" xfId="0" applyNumberFormat="1" applyFont="1" applyFill="1" applyBorder="1" applyAlignment="1" applyProtection="1">
      <alignment horizontal="center"/>
      <protection locked="0"/>
    </xf>
    <xf numFmtId="0" fontId="0" fillId="0" borderId="34" xfId="0" applyBorder="1" applyAlignment="1" applyProtection="1">
      <alignment horizontal="center"/>
      <protection locked="0"/>
    </xf>
    <xf numFmtId="0" fontId="37" fillId="8" borderId="117" xfId="0" applyFont="1" applyFill="1" applyBorder="1" applyAlignment="1">
      <alignment horizontal="right" wrapText="1"/>
    </xf>
    <xf numFmtId="0" fontId="37" fillId="8" borderId="78" xfId="0" applyFont="1" applyFill="1" applyBorder="1" applyAlignment="1">
      <alignment horizontal="right" wrapText="1"/>
    </xf>
    <xf numFmtId="0" fontId="37" fillId="8" borderId="118" xfId="0" applyFont="1" applyFill="1" applyBorder="1" applyAlignment="1">
      <alignment horizontal="right" wrapText="1"/>
    </xf>
    <xf numFmtId="0" fontId="83" fillId="0" borderId="89" xfId="0" applyFont="1" applyBorder="1" applyAlignment="1" applyProtection="1">
      <alignment horizontal="left" wrapText="1"/>
      <protection hidden="1"/>
    </xf>
    <xf numFmtId="0" fontId="0" fillId="0" borderId="90" xfId="0" applyBorder="1" applyAlignment="1" applyProtection="1">
      <alignment wrapText="1"/>
      <protection hidden="1"/>
    </xf>
    <xf numFmtId="0" fontId="0" fillId="0" borderId="91" xfId="0" applyBorder="1" applyAlignment="1" applyProtection="1">
      <alignment wrapText="1"/>
      <protection hidden="1"/>
    </xf>
    <xf numFmtId="0" fontId="38" fillId="0" borderId="15" xfId="0" applyFont="1" applyBorder="1" applyAlignment="1">
      <alignment horizontal="right"/>
    </xf>
    <xf numFmtId="0" fontId="0" fillId="0" borderId="15" xfId="0" applyBorder="1" applyAlignment="1">
      <alignment horizontal="right"/>
    </xf>
    <xf numFmtId="3" fontId="38" fillId="2" borderId="10" xfId="0" applyNumberFormat="1" applyFont="1" applyFill="1" applyBorder="1" applyAlignment="1" applyProtection="1">
      <alignment horizontal="center"/>
      <protection locked="0"/>
    </xf>
    <xf numFmtId="0" fontId="0" fillId="0" borderId="12" xfId="0" applyBorder="1" applyAlignment="1" applyProtection="1">
      <alignment horizontal="center"/>
      <protection locked="0"/>
    </xf>
    <xf numFmtId="0" fontId="38" fillId="0" borderId="10" xfId="0" applyFont="1" applyBorder="1" applyAlignment="1">
      <alignment horizontal="right"/>
    </xf>
    <xf numFmtId="0" fontId="38" fillId="0" borderId="11" xfId="0" applyFont="1" applyBorder="1" applyAlignment="1">
      <alignment horizontal="right"/>
    </xf>
    <xf numFmtId="0" fontId="38" fillId="0" borderId="12" xfId="0" applyFont="1" applyBorder="1" applyAlignment="1">
      <alignment horizontal="right"/>
    </xf>
    <xf numFmtId="0" fontId="38" fillId="0" borderId="130" xfId="0" applyFont="1" applyBorder="1" applyAlignment="1" applyProtection="1">
      <alignment horizontal="right" wrapText="1"/>
      <protection hidden="1"/>
    </xf>
    <xf numFmtId="0" fontId="0" fillId="0" borderId="133" xfId="0" applyBorder="1" applyAlignment="1" applyProtection="1">
      <alignment horizontal="right" wrapText="1"/>
      <protection hidden="1"/>
    </xf>
    <xf numFmtId="0" fontId="0" fillId="0" borderId="131" xfId="0" applyBorder="1" applyAlignment="1" applyProtection="1">
      <alignment horizontal="right" wrapText="1"/>
      <protection hidden="1"/>
    </xf>
    <xf numFmtId="0" fontId="42" fillId="19" borderId="29" xfId="0" applyFont="1" applyFill="1" applyBorder="1" applyAlignment="1">
      <alignment horizontal="center" wrapText="1"/>
    </xf>
    <xf numFmtId="0" fontId="0" fillId="19" borderId="26" xfId="0" applyFill="1" applyBorder="1" applyAlignment="1">
      <alignment horizontal="center"/>
    </xf>
    <xf numFmtId="0" fontId="0" fillId="19" borderId="30" xfId="0" applyFill="1" applyBorder="1" applyAlignment="1">
      <alignment horizontal="center"/>
    </xf>
    <xf numFmtId="0" fontId="0" fillId="19" borderId="60" xfId="0" applyFill="1" applyBorder="1" applyAlignment="1">
      <alignment horizontal="center"/>
    </xf>
    <xf numFmtId="0" fontId="0" fillId="19" borderId="43" xfId="0" applyFill="1" applyBorder="1" applyAlignment="1">
      <alignment horizontal="center"/>
    </xf>
    <xf numFmtId="0" fontId="0" fillId="11" borderId="102" xfId="0" applyFill="1" applyBorder="1" applyAlignment="1">
      <alignment horizontal="center"/>
    </xf>
    <xf numFmtId="0" fontId="0" fillId="11" borderId="67" xfId="0" applyFill="1" applyBorder="1" applyAlignment="1">
      <alignment horizontal="center"/>
    </xf>
    <xf numFmtId="0" fontId="0" fillId="11" borderId="81" xfId="0" applyFill="1" applyBorder="1" applyAlignment="1">
      <alignment horizontal="center"/>
    </xf>
    <xf numFmtId="0" fontId="24" fillId="26" borderId="60" xfId="0" applyFont="1" applyFill="1" applyBorder="1" applyAlignment="1">
      <alignment horizontal="center"/>
    </xf>
    <xf numFmtId="0" fontId="24" fillId="26" borderId="61" xfId="0" applyFont="1" applyFill="1" applyBorder="1" applyAlignment="1">
      <alignment horizontal="center"/>
    </xf>
    <xf numFmtId="0" fontId="24" fillId="26" borderId="43" xfId="0" applyFont="1" applyFill="1" applyBorder="1" applyAlignment="1">
      <alignment horizontal="center"/>
    </xf>
    <xf numFmtId="0" fontId="24" fillId="25" borderId="61" xfId="0" applyFont="1" applyFill="1" applyBorder="1" applyAlignment="1">
      <alignment horizontal="center"/>
    </xf>
    <xf numFmtId="0" fontId="24" fillId="25" borderId="43" xfId="0" applyFont="1" applyFill="1" applyBorder="1" applyAlignment="1">
      <alignment horizontal="center"/>
    </xf>
    <xf numFmtId="0" fontId="0" fillId="19" borderId="27" xfId="0" applyFill="1" applyBorder="1" applyAlignment="1">
      <alignment horizontal="center"/>
    </xf>
    <xf numFmtId="0" fontId="0" fillId="19" borderId="28" xfId="0" applyFill="1" applyBorder="1" applyAlignment="1">
      <alignment horizontal="center"/>
    </xf>
    <xf numFmtId="0" fontId="0" fillId="9" borderId="27" xfId="0" applyFill="1" applyBorder="1" applyAlignment="1">
      <alignment horizontal="center"/>
    </xf>
    <xf numFmtId="0" fontId="0" fillId="9" borderId="0" xfId="0" applyFill="1" applyAlignment="1">
      <alignment horizontal="center"/>
    </xf>
    <xf numFmtId="0" fontId="38" fillId="0" borderId="50" xfId="0" applyFont="1" applyBorder="1" applyAlignment="1">
      <alignment horizontal="right"/>
    </xf>
    <xf numFmtId="0" fontId="52" fillId="24" borderId="102" xfId="0" applyFont="1" applyFill="1" applyBorder="1" applyAlignment="1">
      <alignment horizontal="center"/>
    </xf>
    <xf numFmtId="0" fontId="52" fillId="24" borderId="67" xfId="0" applyFont="1" applyFill="1" applyBorder="1" applyAlignment="1">
      <alignment horizontal="center"/>
    </xf>
    <xf numFmtId="0" fontId="52" fillId="24" borderId="81" xfId="0" applyFont="1" applyFill="1" applyBorder="1" applyAlignment="1">
      <alignment horizontal="center"/>
    </xf>
    <xf numFmtId="0" fontId="91" fillId="24" borderId="102" xfId="0" applyFont="1" applyFill="1" applyBorder="1" applyAlignment="1">
      <alignment horizontal="center" vertical="center" wrapText="1"/>
    </xf>
    <xf numFmtId="0" fontId="88" fillId="24" borderId="67" xfId="0" applyFont="1" applyFill="1" applyBorder="1" applyAlignment="1">
      <alignment horizontal="center" vertical="center" wrapText="1"/>
    </xf>
    <xf numFmtId="0" fontId="88" fillId="24" borderId="81" xfId="0" applyFont="1" applyFill="1" applyBorder="1" applyAlignment="1">
      <alignment horizontal="center" vertical="center" wrapText="1"/>
    </xf>
    <xf numFmtId="0" fontId="90" fillId="20" borderId="102" xfId="0" applyFont="1" applyFill="1" applyBorder="1" applyAlignment="1" applyProtection="1">
      <alignment horizontal="center" vertical="top" wrapText="1"/>
      <protection hidden="1"/>
    </xf>
    <xf numFmtId="0" fontId="90" fillId="20" borderId="67" xfId="0" applyFont="1" applyFill="1" applyBorder="1" applyAlignment="1" applyProtection="1">
      <alignment horizontal="center" vertical="top" wrapText="1"/>
      <protection hidden="1"/>
    </xf>
    <xf numFmtId="0" fontId="90" fillId="20" borderId="81" xfId="0" applyFont="1" applyFill="1" applyBorder="1" applyAlignment="1" applyProtection="1">
      <alignment horizontal="center" vertical="top" wrapText="1"/>
      <protection hidden="1"/>
    </xf>
    <xf numFmtId="0" fontId="90" fillId="20" borderId="60" xfId="0" applyFont="1" applyFill="1" applyBorder="1" applyAlignment="1" applyProtection="1">
      <alignment horizontal="center" vertical="center" wrapText="1"/>
      <protection hidden="1"/>
    </xf>
    <xf numFmtId="0" fontId="90" fillId="20" borderId="61" xfId="0" applyFont="1" applyFill="1" applyBorder="1" applyAlignment="1" applyProtection="1">
      <alignment horizontal="center" vertical="center" wrapText="1"/>
      <protection hidden="1"/>
    </xf>
    <xf numFmtId="0" fontId="90" fillId="20" borderId="43" xfId="0" applyFont="1" applyFill="1" applyBorder="1" applyAlignment="1" applyProtection="1">
      <alignment horizontal="center" vertical="center" wrapText="1"/>
      <protection hidden="1"/>
    </xf>
    <xf numFmtId="0" fontId="90" fillId="20" borderId="29" xfId="0" applyFont="1" applyFill="1" applyBorder="1" applyAlignment="1" applyProtection="1">
      <alignment horizontal="center" vertical="center" wrapText="1"/>
      <protection hidden="1"/>
    </xf>
    <xf numFmtId="0" fontId="90" fillId="20" borderId="26" xfId="0" applyFont="1" applyFill="1" applyBorder="1" applyAlignment="1" applyProtection="1">
      <alignment horizontal="center" vertical="center" wrapText="1"/>
      <protection hidden="1"/>
    </xf>
    <xf numFmtId="0" fontId="90" fillId="20" borderId="30" xfId="0" applyFont="1" applyFill="1" applyBorder="1" applyAlignment="1" applyProtection="1">
      <alignment horizontal="center" vertical="center" wrapText="1"/>
      <protection hidden="1"/>
    </xf>
    <xf numFmtId="0" fontId="100" fillId="20" borderId="60" xfId="2" applyFont="1" applyFill="1" applyBorder="1" applyAlignment="1" applyProtection="1">
      <alignment horizontal="left" vertical="center" wrapText="1"/>
      <protection hidden="1"/>
    </xf>
    <xf numFmtId="0" fontId="100" fillId="20" borderId="61" xfId="2" applyFont="1" applyFill="1" applyBorder="1" applyAlignment="1" applyProtection="1">
      <alignment horizontal="left" vertical="center" wrapText="1"/>
      <protection hidden="1"/>
    </xf>
    <xf numFmtId="0" fontId="100" fillId="20" borderId="43" xfId="2" applyFont="1" applyFill="1" applyBorder="1" applyAlignment="1" applyProtection="1">
      <alignment horizontal="left" vertical="center" wrapText="1"/>
      <protection hidden="1"/>
    </xf>
    <xf numFmtId="0" fontId="100" fillId="20" borderId="27" xfId="2" applyFont="1" applyFill="1" applyBorder="1" applyAlignment="1" applyProtection="1">
      <alignment horizontal="left" vertical="center" wrapText="1"/>
      <protection hidden="1"/>
    </xf>
    <xf numFmtId="0" fontId="100" fillId="20" borderId="0" xfId="2" applyFont="1" applyFill="1" applyBorder="1" applyAlignment="1" applyProtection="1">
      <alignment horizontal="left" vertical="center" wrapText="1"/>
      <protection hidden="1"/>
    </xf>
    <xf numFmtId="0" fontId="100" fillId="20" borderId="28" xfId="2" applyFont="1" applyFill="1" applyBorder="1" applyAlignment="1" applyProtection="1">
      <alignment horizontal="left" vertical="center" wrapText="1"/>
      <protection hidden="1"/>
    </xf>
    <xf numFmtId="0" fontId="100" fillId="20" borderId="29" xfId="2" applyFont="1" applyFill="1" applyBorder="1" applyAlignment="1" applyProtection="1">
      <alignment horizontal="left" vertical="center" wrapText="1"/>
      <protection hidden="1"/>
    </xf>
    <xf numFmtId="0" fontId="100" fillId="20" borderId="26" xfId="2" applyFont="1" applyFill="1" applyBorder="1" applyAlignment="1" applyProtection="1">
      <alignment horizontal="left" vertical="center" wrapText="1"/>
      <protection hidden="1"/>
    </xf>
    <xf numFmtId="0" fontId="100" fillId="20" borderId="30" xfId="2" applyFont="1" applyFill="1" applyBorder="1" applyAlignment="1" applyProtection="1">
      <alignment horizontal="left" vertical="center" wrapText="1"/>
      <protection hidden="1"/>
    </xf>
    <xf numFmtId="0" fontId="99" fillId="24" borderId="185" xfId="0" applyFont="1" applyFill="1" applyBorder="1" applyAlignment="1">
      <alignment horizontal="center" vertical="center" wrapText="1" readingOrder="1"/>
    </xf>
    <xf numFmtId="0" fontId="99" fillId="24" borderId="186" xfId="0" applyFont="1" applyFill="1" applyBorder="1" applyAlignment="1">
      <alignment horizontal="center" vertical="center" wrapText="1" readingOrder="1"/>
    </xf>
    <xf numFmtId="0" fontId="99" fillId="24" borderId="187" xfId="0" applyFont="1" applyFill="1" applyBorder="1" applyAlignment="1">
      <alignment horizontal="center" vertical="center" wrapText="1" readingOrder="1"/>
    </xf>
    <xf numFmtId="0" fontId="26" fillId="0" borderId="74"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39" xfId="0" applyFont="1" applyBorder="1" applyAlignment="1">
      <alignment horizontal="center" vertical="center" wrapText="1"/>
    </xf>
    <xf numFmtId="0" fontId="99" fillId="24" borderId="60" xfId="0" applyFont="1" applyFill="1" applyBorder="1" applyAlignment="1">
      <alignment horizontal="center" vertical="center" wrapText="1" readingOrder="1"/>
    </xf>
    <xf numFmtId="0" fontId="99" fillId="24" borderId="61" xfId="0" applyFont="1" applyFill="1" applyBorder="1" applyAlignment="1">
      <alignment horizontal="center" vertical="center" wrapText="1" readingOrder="1"/>
    </xf>
    <xf numFmtId="0" fontId="99" fillId="24" borderId="43" xfId="0" applyFont="1" applyFill="1" applyBorder="1" applyAlignment="1">
      <alignment horizontal="center" vertical="center" wrapText="1" readingOrder="1"/>
    </xf>
    <xf numFmtId="0" fontId="108" fillId="33" borderId="60" xfId="2" applyFont="1" applyFill="1" applyBorder="1" applyAlignment="1">
      <alignment horizontal="left" vertical="center"/>
    </xf>
    <xf numFmtId="0" fontId="108" fillId="33" borderId="61" xfId="2" applyFont="1" applyFill="1" applyBorder="1" applyAlignment="1">
      <alignment horizontal="left" vertical="center"/>
    </xf>
    <xf numFmtId="0" fontId="108" fillId="33" borderId="43" xfId="2" applyFont="1" applyFill="1" applyBorder="1" applyAlignment="1">
      <alignment horizontal="left" vertical="center"/>
    </xf>
    <xf numFmtId="0" fontId="108" fillId="33" borderId="29" xfId="2" applyFont="1" applyFill="1" applyBorder="1" applyAlignment="1">
      <alignment horizontal="left" vertical="center"/>
    </xf>
    <xf numFmtId="0" fontId="108" fillId="33" borderId="26" xfId="2" applyFont="1" applyFill="1" applyBorder="1" applyAlignment="1">
      <alignment horizontal="left" vertical="center"/>
    </xf>
    <xf numFmtId="0" fontId="108" fillId="33" borderId="30" xfId="2" applyFont="1" applyFill="1" applyBorder="1" applyAlignment="1">
      <alignment horizontal="left" vertical="center"/>
    </xf>
    <xf numFmtId="0" fontId="0" fillId="24" borderId="27" xfId="0" applyFill="1" applyBorder="1" applyAlignment="1">
      <alignment horizontal="center"/>
    </xf>
    <xf numFmtId="0" fontId="0" fillId="24" borderId="0" xfId="0" applyFill="1" applyAlignment="1">
      <alignment horizontal="center"/>
    </xf>
    <xf numFmtId="0" fontId="0" fillId="24" borderId="60" xfId="0" applyFill="1" applyBorder="1" applyAlignment="1">
      <alignment horizontal="center"/>
    </xf>
    <xf numFmtId="0" fontId="0" fillId="24" borderId="43" xfId="0" applyFill="1" applyBorder="1" applyAlignment="1">
      <alignment horizontal="center"/>
    </xf>
    <xf numFmtId="0" fontId="0" fillId="19" borderId="80" xfId="0" applyFill="1" applyBorder="1" applyAlignment="1">
      <alignment horizontal="center"/>
    </xf>
    <xf numFmtId="0" fontId="0" fillId="19" borderId="129" xfId="0" applyFill="1" applyBorder="1" applyAlignment="1">
      <alignment horizontal="center"/>
    </xf>
    <xf numFmtId="0" fontId="0" fillId="19" borderId="17" xfId="0" applyFill="1" applyBorder="1" applyAlignment="1">
      <alignment horizontal="center"/>
    </xf>
    <xf numFmtId="0" fontId="0" fillId="0" borderId="0" xfId="0" applyAlignment="1">
      <alignment horizontal="center"/>
    </xf>
    <xf numFmtId="0" fontId="92" fillId="20" borderId="102" xfId="0" applyFont="1" applyFill="1" applyBorder="1" applyAlignment="1">
      <alignment horizontal="center" vertical="center"/>
    </xf>
    <xf numFmtId="0" fontId="92" fillId="20" borderId="67" xfId="0" applyFont="1" applyFill="1" applyBorder="1" applyAlignment="1">
      <alignment horizontal="center" vertical="center"/>
    </xf>
    <xf numFmtId="0" fontId="92" fillId="20" borderId="81" xfId="0" applyFont="1" applyFill="1" applyBorder="1" applyAlignment="1">
      <alignment horizontal="center" vertical="center"/>
    </xf>
    <xf numFmtId="0" fontId="0" fillId="10" borderId="60" xfId="0" applyFill="1" applyBorder="1" applyAlignment="1">
      <alignment horizontal="left" vertical="top" wrapText="1"/>
    </xf>
    <xf numFmtId="0" fontId="0" fillId="10" borderId="61" xfId="0" applyFill="1" applyBorder="1" applyAlignment="1">
      <alignment horizontal="left" vertical="top" wrapText="1"/>
    </xf>
    <xf numFmtId="0" fontId="0" fillId="10" borderId="43" xfId="0" applyFill="1" applyBorder="1" applyAlignment="1">
      <alignment horizontal="left" vertical="top" wrapText="1"/>
    </xf>
    <xf numFmtId="0" fontId="0" fillId="10" borderId="29" xfId="0" applyFill="1" applyBorder="1" applyAlignment="1">
      <alignment horizontal="left" vertical="top" wrapText="1"/>
    </xf>
    <xf numFmtId="0" fontId="0" fillId="10" borderId="26" xfId="0" applyFill="1" applyBorder="1" applyAlignment="1">
      <alignment horizontal="left" vertical="top" wrapText="1"/>
    </xf>
    <xf numFmtId="0" fontId="0" fillId="10" borderId="30" xfId="0" applyFill="1" applyBorder="1" applyAlignment="1">
      <alignment horizontal="left" vertical="top" wrapText="1"/>
    </xf>
    <xf numFmtId="0" fontId="91" fillId="28" borderId="102" xfId="0" applyFont="1" applyFill="1" applyBorder="1" applyAlignment="1">
      <alignment horizontal="left" vertical="top"/>
    </xf>
    <xf numFmtId="0" fontId="91" fillId="28" borderId="67" xfId="0" applyFont="1" applyFill="1" applyBorder="1" applyAlignment="1">
      <alignment horizontal="left" vertical="top"/>
    </xf>
    <xf numFmtId="0" fontId="91" fillId="28" borderId="81" xfId="0" applyFont="1" applyFill="1" applyBorder="1" applyAlignment="1">
      <alignment horizontal="left" vertical="top"/>
    </xf>
    <xf numFmtId="0" fontId="63" fillId="24" borderId="102" xfId="0" applyFont="1" applyFill="1" applyBorder="1" applyAlignment="1">
      <alignment horizontal="left" vertical="top" wrapText="1"/>
    </xf>
    <xf numFmtId="0" fontId="63" fillId="24" borderId="67" xfId="0" applyFont="1" applyFill="1" applyBorder="1" applyAlignment="1">
      <alignment horizontal="left" vertical="top"/>
    </xf>
    <xf numFmtId="0" fontId="63" fillId="24" borderId="81" xfId="0" applyFont="1" applyFill="1" applyBorder="1" applyAlignment="1">
      <alignment horizontal="left" vertical="top"/>
    </xf>
    <xf numFmtId="0" fontId="96" fillId="20" borderId="60" xfId="0" applyFont="1" applyFill="1" applyBorder="1" applyAlignment="1" applyProtection="1">
      <alignment horizontal="center" vertical="center" wrapText="1"/>
      <protection hidden="1"/>
    </xf>
    <xf numFmtId="0" fontId="96" fillId="20" borderId="61" xfId="0" applyFont="1" applyFill="1" applyBorder="1" applyAlignment="1" applyProtection="1">
      <alignment horizontal="center" vertical="center" wrapText="1"/>
      <protection hidden="1"/>
    </xf>
    <xf numFmtId="0" fontId="96" fillId="20" borderId="43" xfId="0" applyFont="1" applyFill="1" applyBorder="1" applyAlignment="1" applyProtection="1">
      <alignment horizontal="center" vertical="center" wrapText="1"/>
      <protection hidden="1"/>
    </xf>
    <xf numFmtId="0" fontId="0" fillId="0" borderId="74"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93" fillId="20" borderId="60" xfId="0" applyFont="1" applyFill="1" applyBorder="1" applyAlignment="1">
      <alignment horizontal="center" vertical="center" wrapText="1"/>
    </xf>
    <xf numFmtId="0" fontId="93" fillId="20" borderId="43" xfId="0" applyFont="1" applyFill="1" applyBorder="1" applyAlignment="1">
      <alignment horizontal="center" vertical="center" wrapText="1"/>
    </xf>
    <xf numFmtId="0" fontId="93" fillId="20" borderId="29" xfId="0" applyFont="1" applyFill="1" applyBorder="1" applyAlignment="1">
      <alignment horizontal="center" vertical="center" wrapText="1"/>
    </xf>
    <xf numFmtId="0" fontId="93" fillId="20" borderId="30" xfId="0" applyFont="1" applyFill="1" applyBorder="1" applyAlignment="1">
      <alignment horizontal="center" vertical="center" wrapText="1"/>
    </xf>
    <xf numFmtId="0" fontId="89" fillId="20" borderId="60" xfId="0" applyFont="1" applyFill="1" applyBorder="1" applyAlignment="1" applyProtection="1">
      <alignment horizontal="center" vertical="center" wrapText="1"/>
      <protection hidden="1"/>
    </xf>
    <xf numFmtId="0" fontId="89" fillId="20" borderId="61" xfId="0" applyFont="1" applyFill="1" applyBorder="1" applyAlignment="1" applyProtection="1">
      <alignment horizontal="center" vertical="center" wrapText="1"/>
      <protection hidden="1"/>
    </xf>
    <xf numFmtId="0" fontId="89" fillId="20" borderId="43" xfId="0" applyFont="1" applyFill="1" applyBorder="1" applyAlignment="1" applyProtection="1">
      <alignment horizontal="center" vertical="center" wrapText="1"/>
      <protection hidden="1"/>
    </xf>
    <xf numFmtId="0" fontId="89" fillId="20" borderId="29" xfId="0" applyFont="1" applyFill="1" applyBorder="1" applyAlignment="1" applyProtection="1">
      <alignment horizontal="center" vertical="center" wrapText="1"/>
      <protection hidden="1"/>
    </xf>
    <xf numFmtId="0" fontId="89" fillId="20" borderId="26" xfId="0" applyFont="1" applyFill="1" applyBorder="1" applyAlignment="1" applyProtection="1">
      <alignment horizontal="center" vertical="center" wrapText="1"/>
      <protection hidden="1"/>
    </xf>
    <xf numFmtId="0" fontId="89" fillId="20" borderId="30" xfId="0" applyFont="1" applyFill="1" applyBorder="1" applyAlignment="1" applyProtection="1">
      <alignment horizontal="center" vertical="center" wrapText="1"/>
      <protection hidden="1"/>
    </xf>
    <xf numFmtId="0" fontId="75" fillId="20" borderId="102" xfId="1" applyFont="1" applyFill="1" applyBorder="1" applyAlignment="1" applyProtection="1">
      <alignment horizontal="center" vertical="center" wrapText="1"/>
    </xf>
    <xf numFmtId="0" fontId="75" fillId="20" borderId="67" xfId="1" applyFont="1" applyFill="1" applyBorder="1" applyAlignment="1" applyProtection="1">
      <alignment horizontal="center" vertical="center" wrapText="1"/>
    </xf>
    <xf numFmtId="0" fontId="75" fillId="20" borderId="81" xfId="1" applyFont="1" applyFill="1" applyBorder="1" applyAlignment="1" applyProtection="1">
      <alignment horizontal="center" vertical="center" wrapText="1"/>
    </xf>
    <xf numFmtId="0" fontId="88" fillId="31" borderId="102" xfId="0" applyFont="1" applyFill="1" applyBorder="1" applyAlignment="1">
      <alignment horizontal="left" wrapText="1"/>
    </xf>
    <xf numFmtId="0" fontId="88" fillId="31" borderId="67" xfId="0" applyFont="1" applyFill="1" applyBorder="1" applyAlignment="1">
      <alignment horizontal="left" wrapText="1"/>
    </xf>
    <xf numFmtId="0" fontId="88" fillId="31" borderId="81" xfId="0" applyFont="1" applyFill="1" applyBorder="1" applyAlignment="1">
      <alignment horizontal="left" wrapText="1"/>
    </xf>
    <xf numFmtId="0" fontId="0" fillId="0" borderId="20" xfId="0" applyBorder="1" applyAlignment="1">
      <alignment horizontal="center"/>
    </xf>
    <xf numFmtId="0" fontId="0" fillId="0" borderId="1" xfId="0" applyBorder="1" applyAlignment="1">
      <alignment horizontal="center" vertical="center" wrapText="1"/>
    </xf>
    <xf numFmtId="0" fontId="0" fillId="0" borderId="21" xfId="0" applyBorder="1" applyAlignment="1">
      <alignment horizontal="center" vertical="center" wrapText="1"/>
    </xf>
    <xf numFmtId="0" fontId="0" fillId="0" borderId="32" xfId="0" applyBorder="1" applyAlignment="1">
      <alignment horizontal="center" vertical="center" wrapText="1"/>
    </xf>
    <xf numFmtId="0" fontId="0" fillId="0" borderId="179" xfId="0" applyBorder="1" applyAlignment="1">
      <alignment horizontal="center" vertical="center" wrapText="1"/>
    </xf>
    <xf numFmtId="0" fontId="103" fillId="24" borderId="102" xfId="0" applyFont="1" applyFill="1" applyBorder="1" applyAlignment="1">
      <alignment horizontal="left" vertical="center"/>
    </xf>
    <xf numFmtId="0" fontId="103" fillId="24" borderId="67" xfId="0" applyFont="1" applyFill="1" applyBorder="1" applyAlignment="1">
      <alignment horizontal="left" vertical="center"/>
    </xf>
    <xf numFmtId="0" fontId="103" fillId="24" borderId="81" xfId="0" applyFont="1" applyFill="1" applyBorder="1" applyAlignment="1">
      <alignment horizontal="left" vertical="center"/>
    </xf>
    <xf numFmtId="0" fontId="52" fillId="24" borderId="67" xfId="0" applyFont="1" applyFill="1" applyBorder="1" applyAlignment="1">
      <alignment horizontal="left" wrapText="1"/>
    </xf>
    <xf numFmtId="0" fontId="52" fillId="24" borderId="67" xfId="0" applyFont="1" applyFill="1" applyBorder="1" applyAlignment="1">
      <alignment horizontal="left"/>
    </xf>
    <xf numFmtId="0" fontId="107" fillId="0" borderId="20" xfId="0" applyFont="1" applyBorder="1" applyAlignment="1">
      <alignment horizontal="center"/>
    </xf>
    <xf numFmtId="0" fontId="107" fillId="0" borderId="1" xfId="0" applyFont="1" applyBorder="1" applyAlignment="1">
      <alignment horizontal="center" vertical="center" wrapText="1"/>
    </xf>
    <xf numFmtId="0" fontId="107" fillId="0" borderId="21" xfId="0" applyFont="1" applyBorder="1" applyAlignment="1">
      <alignment horizontal="center" vertical="center" wrapText="1"/>
    </xf>
    <xf numFmtId="0" fontId="107" fillId="0" borderId="178" xfId="0" applyFont="1" applyBorder="1" applyAlignment="1">
      <alignment horizontal="center"/>
    </xf>
    <xf numFmtId="0" fontId="107" fillId="0" borderId="32" xfId="0" applyFont="1" applyBorder="1" applyAlignment="1">
      <alignment horizontal="center" vertical="center" wrapText="1"/>
    </xf>
    <xf numFmtId="0" fontId="107" fillId="0" borderId="179" xfId="0" applyFont="1" applyBorder="1" applyAlignment="1">
      <alignment horizontal="center" vertical="center" wrapText="1"/>
    </xf>
    <xf numFmtId="0" fontId="105" fillId="27" borderId="80" xfId="0" applyFont="1" applyFill="1" applyBorder="1" applyAlignment="1">
      <alignment horizontal="center"/>
    </xf>
    <xf numFmtId="0" fontId="105" fillId="27" borderId="129" xfId="0" applyFont="1" applyFill="1" applyBorder="1" applyAlignment="1">
      <alignment horizontal="center"/>
    </xf>
    <xf numFmtId="0" fontId="105" fillId="27" borderId="17" xfId="0" applyFont="1" applyFill="1" applyBorder="1" applyAlignment="1">
      <alignment horizontal="center"/>
    </xf>
    <xf numFmtId="0" fontId="107" fillId="0" borderId="20" xfId="0" applyFont="1" applyBorder="1" applyAlignment="1">
      <alignment horizontal="center" vertical="center"/>
    </xf>
    <xf numFmtId="0" fontId="71" fillId="9" borderId="102" xfId="0" applyFont="1" applyFill="1" applyBorder="1" applyAlignment="1">
      <alignment horizontal="center" vertical="center" wrapText="1"/>
    </xf>
    <xf numFmtId="0" fontId="71" fillId="9" borderId="81" xfId="0" applyFont="1" applyFill="1" applyBorder="1" applyAlignment="1">
      <alignment horizontal="center" vertical="center" wrapText="1"/>
    </xf>
    <xf numFmtId="0" fontId="24" fillId="8" borderId="27" xfId="0" applyFont="1" applyFill="1" applyBorder="1" applyAlignment="1">
      <alignment horizontal="center" wrapText="1"/>
    </xf>
    <xf numFmtId="0" fontId="24" fillId="8" borderId="28" xfId="0" applyFont="1" applyFill="1" applyBorder="1" applyAlignment="1">
      <alignment horizontal="center" wrapText="1"/>
    </xf>
    <xf numFmtId="0" fontId="24" fillId="8" borderId="29" xfId="0" applyFont="1" applyFill="1" applyBorder="1" applyAlignment="1">
      <alignment horizontal="center" wrapText="1"/>
    </xf>
    <xf numFmtId="0" fontId="24" fillId="8" borderId="30" xfId="0" applyFont="1" applyFill="1" applyBorder="1" applyAlignment="1">
      <alignment horizontal="center" wrapText="1"/>
    </xf>
    <xf numFmtId="38" fontId="80" fillId="8" borderId="102" xfId="0" applyNumberFormat="1" applyFont="1" applyFill="1" applyBorder="1" applyAlignment="1">
      <alignment horizontal="center" vertical="center"/>
    </xf>
    <xf numFmtId="38" fontId="80" fillId="8" borderId="67" xfId="0" applyNumberFormat="1" applyFont="1" applyFill="1" applyBorder="1" applyAlignment="1">
      <alignment horizontal="center" vertical="center"/>
    </xf>
    <xf numFmtId="38" fontId="80" fillId="8" borderId="81" xfId="0" applyNumberFormat="1" applyFont="1" applyFill="1" applyBorder="1" applyAlignment="1">
      <alignment horizontal="center" vertical="center"/>
    </xf>
    <xf numFmtId="0" fontId="82" fillId="8" borderId="27" xfId="0" applyFont="1" applyFill="1" applyBorder="1" applyAlignment="1">
      <alignment horizontal="center"/>
    </xf>
    <xf numFmtId="0" fontId="82" fillId="8" borderId="0" xfId="0" applyFont="1" applyFill="1" applyAlignment="1">
      <alignment horizontal="center"/>
    </xf>
    <xf numFmtId="0" fontId="82" fillId="8" borderId="29" xfId="0" applyFont="1" applyFill="1" applyBorder="1" applyAlignment="1">
      <alignment horizontal="center"/>
    </xf>
    <xf numFmtId="0" fontId="82" fillId="8" borderId="26" xfId="0" applyFont="1" applyFill="1" applyBorder="1" applyAlignment="1">
      <alignment horizontal="center"/>
    </xf>
    <xf numFmtId="0" fontId="85" fillId="8" borderId="102" xfId="1" applyFont="1" applyFill="1" applyBorder="1" applyAlignment="1" applyProtection="1">
      <alignment horizontal="center" vertical="center" wrapText="1"/>
    </xf>
    <xf numFmtId="0" fontId="85" fillId="8" borderId="67" xfId="1" applyFont="1" applyFill="1" applyBorder="1" applyAlignment="1" applyProtection="1">
      <alignment horizontal="center" vertical="center" wrapText="1"/>
    </xf>
    <xf numFmtId="0" fontId="85" fillId="8" borderId="81" xfId="1" applyFont="1" applyFill="1" applyBorder="1" applyAlignment="1" applyProtection="1">
      <alignment horizontal="center" vertical="center" wrapText="1"/>
    </xf>
    <xf numFmtId="0" fontId="86" fillId="0" borderId="102" xfId="0" applyFont="1" applyBorder="1" applyAlignment="1">
      <alignment horizontal="center" vertical="center" wrapText="1"/>
    </xf>
    <xf numFmtId="0" fontId="86" fillId="0" borderId="67" xfId="0" applyFont="1" applyBorder="1" applyAlignment="1">
      <alignment horizontal="center" vertical="center" wrapText="1"/>
    </xf>
    <xf numFmtId="0" fontId="86" fillId="0" borderId="81" xfId="0" applyFont="1" applyBorder="1" applyAlignment="1">
      <alignment horizontal="center" vertical="center" wrapText="1"/>
    </xf>
    <xf numFmtId="0" fontId="24" fillId="20" borderId="13" xfId="0" applyFont="1" applyFill="1" applyBorder="1" applyAlignment="1">
      <alignment horizontal="center"/>
    </xf>
    <xf numFmtId="0" fontId="24" fillId="20" borderId="25" xfId="0" applyFont="1" applyFill="1" applyBorder="1" applyAlignment="1">
      <alignment horizontal="center"/>
    </xf>
    <xf numFmtId="3" fontId="52" fillId="2" borderId="60" xfId="0" applyNumberFormat="1" applyFont="1" applyFill="1" applyBorder="1" applyAlignment="1" applyProtection="1">
      <alignment horizontal="center" wrapText="1"/>
      <protection locked="0"/>
    </xf>
    <xf numFmtId="0" fontId="0" fillId="0" borderId="61" xfId="0" applyBorder="1" applyAlignment="1">
      <alignment horizontal="center" wrapText="1"/>
    </xf>
    <xf numFmtId="0" fontId="0" fillId="0" borderId="43" xfId="0" applyBorder="1" applyAlignment="1">
      <alignment horizontal="center" wrapText="1"/>
    </xf>
    <xf numFmtId="0" fontId="42" fillId="19" borderId="27" xfId="0" applyFont="1" applyFill="1" applyBorder="1" applyAlignment="1">
      <alignment horizontal="center" wrapText="1"/>
    </xf>
    <xf numFmtId="0" fontId="74" fillId="19" borderId="0" xfId="0" applyFont="1" applyFill="1" applyAlignment="1">
      <alignment horizontal="center"/>
    </xf>
    <xf numFmtId="0" fontId="74" fillId="19" borderId="28" xfId="0" applyFont="1" applyFill="1" applyBorder="1" applyAlignment="1">
      <alignment horizontal="center"/>
    </xf>
    <xf numFmtId="0" fontId="38" fillId="0" borderId="94" xfId="0" applyFont="1" applyBorder="1" applyAlignment="1">
      <alignment horizontal="right"/>
    </xf>
    <xf numFmtId="0" fontId="74" fillId="0" borderId="4" xfId="0" applyFont="1" applyBorder="1" applyAlignment="1">
      <alignment horizontal="right"/>
    </xf>
    <xf numFmtId="0" fontId="38" fillId="0" borderId="4" xfId="0" applyFont="1" applyBorder="1" applyAlignment="1">
      <alignment horizontal="right"/>
    </xf>
    <xf numFmtId="0" fontId="38" fillId="0" borderId="89" xfId="0" applyFont="1" applyBorder="1" applyAlignment="1">
      <alignment horizontal="right"/>
    </xf>
    <xf numFmtId="0" fontId="38" fillId="0" borderId="90" xfId="0" applyFont="1" applyBorder="1" applyAlignment="1">
      <alignment horizontal="right"/>
    </xf>
    <xf numFmtId="0" fontId="38" fillId="0" borderId="93" xfId="0" applyFont="1" applyBorder="1" applyAlignment="1">
      <alignment horizontal="right"/>
    </xf>
    <xf numFmtId="3" fontId="38" fillId="2" borderId="89" xfId="0" applyNumberFormat="1" applyFont="1" applyFill="1" applyBorder="1" applyAlignment="1" applyProtection="1">
      <alignment horizontal="center"/>
      <protection locked="0"/>
    </xf>
    <xf numFmtId="0" fontId="74" fillId="0" borderId="93" xfId="0" applyFont="1" applyBorder="1" applyAlignment="1" applyProtection="1">
      <alignment horizontal="center"/>
      <protection locked="0"/>
    </xf>
    <xf numFmtId="3" fontId="38" fillId="2" borderId="90" xfId="0" applyNumberFormat="1" applyFont="1" applyFill="1" applyBorder="1" applyAlignment="1" applyProtection="1">
      <alignment horizontal="center"/>
      <protection locked="0"/>
    </xf>
    <xf numFmtId="0" fontId="79" fillId="0" borderId="142" xfId="1" applyFont="1" applyBorder="1" applyAlignment="1" applyProtection="1">
      <alignment horizontal="left" wrapText="1"/>
    </xf>
    <xf numFmtId="0" fontId="79" fillId="0" borderId="77" xfId="1" applyFont="1" applyBorder="1" applyAlignment="1" applyProtection="1">
      <alignment horizontal="left" wrapText="1"/>
    </xf>
    <xf numFmtId="38" fontId="81" fillId="8" borderId="0" xfId="0" applyNumberFormat="1" applyFont="1" applyFill="1" applyAlignment="1">
      <alignment horizontal="left" wrapText="1"/>
    </xf>
    <xf numFmtId="38" fontId="48" fillId="9" borderId="60" xfId="0" applyNumberFormat="1" applyFont="1" applyFill="1" applyBorder="1" applyAlignment="1">
      <alignment horizontal="left" vertical="center" wrapText="1"/>
    </xf>
    <xf numFmtId="38" fontId="4" fillId="9" borderId="61" xfId="0" applyNumberFormat="1" applyFont="1" applyFill="1" applyBorder="1" applyAlignment="1">
      <alignment horizontal="left" vertical="center" wrapText="1"/>
    </xf>
    <xf numFmtId="38" fontId="4" fillId="9" borderId="81" xfId="0" applyNumberFormat="1" applyFont="1" applyFill="1" applyBorder="1" applyAlignment="1">
      <alignment horizontal="left" vertical="center" wrapText="1"/>
    </xf>
    <xf numFmtId="0" fontId="42" fillId="0" borderId="102" xfId="0" applyFont="1" applyBorder="1" applyAlignment="1">
      <alignment horizontal="left" vertical="center"/>
    </xf>
    <xf numFmtId="0" fontId="42" fillId="0" borderId="67" xfId="0" applyFont="1" applyBorder="1" applyAlignment="1">
      <alignment horizontal="left" vertical="center"/>
    </xf>
    <xf numFmtId="0" fontId="42" fillId="0" borderId="81" xfId="0" applyFont="1" applyBorder="1" applyAlignment="1">
      <alignment horizontal="left" vertical="center"/>
    </xf>
    <xf numFmtId="0" fontId="85" fillId="8" borderId="0" xfId="1" applyFont="1" applyFill="1" applyBorder="1" applyAlignment="1" applyProtection="1">
      <alignment horizontal="center" vertical="center" wrapText="1"/>
    </xf>
    <xf numFmtId="0" fontId="87" fillId="8" borderId="60" xfId="0" applyFont="1" applyFill="1" applyBorder="1" applyAlignment="1">
      <alignment horizontal="left" wrapText="1"/>
    </xf>
    <xf numFmtId="0" fontId="87" fillId="8" borderId="61" xfId="0" applyFont="1" applyFill="1" applyBorder="1" applyAlignment="1">
      <alignment horizontal="left" wrapText="1"/>
    </xf>
    <xf numFmtId="0" fontId="87" fillId="8" borderId="43" xfId="0" applyFont="1" applyFill="1" applyBorder="1" applyAlignment="1">
      <alignment horizontal="left" wrapText="1"/>
    </xf>
    <xf numFmtId="0" fontId="87" fillId="8" borderId="29" xfId="0" applyFont="1" applyFill="1" applyBorder="1" applyAlignment="1">
      <alignment horizontal="left" wrapText="1"/>
    </xf>
    <xf numFmtId="0" fontId="87" fillId="8" borderId="26" xfId="0" applyFont="1" applyFill="1" applyBorder="1" applyAlignment="1">
      <alignment horizontal="left" wrapText="1"/>
    </xf>
    <xf numFmtId="0" fontId="87" fillId="8" borderId="30" xfId="0" applyFont="1" applyFill="1" applyBorder="1" applyAlignment="1">
      <alignment horizontal="left" wrapText="1"/>
    </xf>
    <xf numFmtId="0" fontId="74" fillId="0" borderId="1" xfId="0" applyFont="1" applyBorder="1" applyAlignment="1">
      <alignment horizontal="right"/>
    </xf>
    <xf numFmtId="0" fontId="38" fillId="0" borderId="1" xfId="0" applyFont="1" applyBorder="1" applyAlignment="1">
      <alignment horizontal="right"/>
    </xf>
    <xf numFmtId="3" fontId="38" fillId="2" borderId="13" xfId="0" applyNumberFormat="1" applyFont="1" applyFill="1" applyBorder="1" applyAlignment="1" applyProtection="1">
      <alignment horizontal="center"/>
      <protection locked="0"/>
    </xf>
    <xf numFmtId="3" fontId="38" fillId="2" borderId="133" xfId="0" applyNumberFormat="1" applyFont="1" applyFill="1" applyBorder="1" applyAlignment="1" applyProtection="1">
      <alignment horizontal="center"/>
      <protection locked="0"/>
    </xf>
    <xf numFmtId="0" fontId="74" fillId="0" borderId="14" xfId="0" applyFont="1" applyBorder="1" applyAlignment="1" applyProtection="1">
      <alignment horizontal="center"/>
      <protection locked="0"/>
    </xf>
    <xf numFmtId="0" fontId="38" fillId="0" borderId="13" xfId="0" applyFont="1" applyBorder="1" applyAlignment="1">
      <alignment horizontal="right"/>
    </xf>
    <xf numFmtId="0" fontId="38" fillId="0" borderId="25" xfId="0" applyFont="1" applyBorder="1" applyAlignment="1">
      <alignment horizontal="right"/>
    </xf>
    <xf numFmtId="0" fontId="38" fillId="0" borderId="14" xfId="0" applyFont="1" applyBorder="1" applyAlignment="1">
      <alignment horizontal="right"/>
    </xf>
    <xf numFmtId="0" fontId="38" fillId="0" borderId="13" xfId="0" applyFont="1" applyBorder="1" applyAlignment="1">
      <alignment horizontal="right" wrapText="1"/>
    </xf>
    <xf numFmtId="0" fontId="74" fillId="0" borderId="25" xfId="0" applyFont="1" applyBorder="1" applyAlignment="1">
      <alignment horizontal="right" wrapText="1"/>
    </xf>
    <xf numFmtId="0" fontId="74" fillId="0" borderId="14" xfId="0" applyFont="1" applyBorder="1" applyAlignment="1">
      <alignment horizontal="right" wrapText="1"/>
    </xf>
    <xf numFmtId="3" fontId="38" fillId="2" borderId="5" xfId="0" applyNumberFormat="1" applyFont="1" applyFill="1" applyBorder="1" applyAlignment="1" applyProtection="1">
      <alignment horizontal="center"/>
      <protection locked="0"/>
    </xf>
    <xf numFmtId="0" fontId="74" fillId="0" borderId="34" xfId="0" applyFont="1" applyBorder="1" applyAlignment="1" applyProtection="1">
      <alignment horizontal="center"/>
      <protection locked="0"/>
    </xf>
    <xf numFmtId="0" fontId="38" fillId="2" borderId="13" xfId="0" applyFont="1" applyFill="1" applyBorder="1" applyAlignment="1" applyProtection="1">
      <alignment horizontal="center"/>
      <protection locked="0"/>
    </xf>
    <xf numFmtId="0" fontId="38" fillId="2" borderId="133" xfId="0" applyFont="1" applyFill="1" applyBorder="1" applyAlignment="1" applyProtection="1">
      <alignment horizontal="center"/>
      <protection locked="0"/>
    </xf>
    <xf numFmtId="0" fontId="74" fillId="0" borderId="122" xfId="0" applyFont="1" applyBorder="1" applyAlignment="1">
      <alignment horizontal="right"/>
    </xf>
    <xf numFmtId="0" fontId="83" fillId="0" borderId="89" xfId="0" applyFont="1" applyBorder="1" applyAlignment="1">
      <alignment horizontal="left" wrapText="1"/>
    </xf>
    <xf numFmtId="0" fontId="74" fillId="0" borderId="90" xfId="0" applyFont="1" applyBorder="1" applyAlignment="1">
      <alignment wrapText="1"/>
    </xf>
    <xf numFmtId="0" fontId="74" fillId="0" borderId="91" xfId="0" applyFont="1" applyBorder="1" applyAlignment="1">
      <alignment wrapText="1"/>
    </xf>
    <xf numFmtId="0" fontId="83" fillId="0" borderId="10" xfId="0" applyFont="1" applyBorder="1" applyAlignment="1">
      <alignment horizontal="left" wrapText="1"/>
    </xf>
    <xf numFmtId="0" fontId="74" fillId="0" borderId="11" xfId="0" applyFont="1" applyBorder="1" applyAlignment="1">
      <alignment wrapText="1"/>
    </xf>
    <xf numFmtId="0" fontId="74" fillId="0" borderId="45" xfId="0" applyFont="1" applyBorder="1" applyAlignment="1">
      <alignment wrapText="1"/>
    </xf>
    <xf numFmtId="0" fontId="74" fillId="8" borderId="163" xfId="0" applyFont="1" applyFill="1" applyBorder="1" applyAlignment="1">
      <alignment horizontal="left" wrapText="1"/>
    </xf>
    <xf numFmtId="0" fontId="74" fillId="8" borderId="25" xfId="0" applyFont="1" applyFill="1" applyBorder="1" applyAlignment="1">
      <alignment horizontal="left" wrapText="1"/>
    </xf>
    <xf numFmtId="0" fontId="74" fillId="8" borderId="133" xfId="0" applyFont="1" applyFill="1" applyBorder="1" applyAlignment="1">
      <alignment horizontal="left" wrapText="1"/>
    </xf>
    <xf numFmtId="0" fontId="83" fillId="0" borderId="160" xfId="0" applyFont="1" applyBorder="1" applyAlignment="1">
      <alignment horizontal="left" wrapText="1"/>
    </xf>
    <xf numFmtId="0" fontId="74" fillId="0" borderId="161" xfId="0" applyFont="1" applyBorder="1" applyAlignment="1">
      <alignment wrapText="1"/>
    </xf>
    <xf numFmtId="0" fontId="74" fillId="0" borderId="162" xfId="0" applyFont="1" applyBorder="1" applyAlignment="1">
      <alignment wrapText="1"/>
    </xf>
    <xf numFmtId="0" fontId="24" fillId="26" borderId="60" xfId="0" applyFont="1" applyFill="1" applyBorder="1" applyAlignment="1">
      <alignment horizontal="center" wrapText="1"/>
    </xf>
    <xf numFmtId="0" fontId="24" fillId="26" borderId="61" xfId="0" applyFont="1" applyFill="1" applyBorder="1" applyAlignment="1">
      <alignment horizontal="center" wrapText="1"/>
    </xf>
    <xf numFmtId="0" fontId="24" fillId="26" borderId="43" xfId="0" applyFont="1" applyFill="1" applyBorder="1" applyAlignment="1">
      <alignment horizontal="center" wrapText="1"/>
    </xf>
    <xf numFmtId="0" fontId="24" fillId="25" borderId="61" xfId="0" applyFont="1" applyFill="1" applyBorder="1" applyAlignment="1">
      <alignment horizontal="center" wrapText="1"/>
    </xf>
    <xf numFmtId="0" fontId="24" fillId="25" borderId="43" xfId="0" applyFont="1" applyFill="1" applyBorder="1" applyAlignment="1">
      <alignment horizontal="center" wrapText="1"/>
    </xf>
    <xf numFmtId="0" fontId="95" fillId="20" borderId="102" xfId="0" applyFont="1" applyFill="1" applyBorder="1" applyAlignment="1" applyProtection="1">
      <alignment horizontal="center" vertical="top" wrapText="1"/>
      <protection hidden="1"/>
    </xf>
    <xf numFmtId="0" fontId="95" fillId="20" borderId="67" xfId="0" applyFont="1" applyFill="1" applyBorder="1" applyAlignment="1" applyProtection="1">
      <alignment horizontal="center" vertical="top" wrapText="1"/>
      <protection hidden="1"/>
    </xf>
    <xf numFmtId="0" fontId="95" fillId="20" borderId="81" xfId="0" applyFont="1" applyFill="1" applyBorder="1" applyAlignment="1" applyProtection="1">
      <alignment horizontal="center" vertical="top" wrapText="1"/>
      <protection hidden="1"/>
    </xf>
    <xf numFmtId="0" fontId="24" fillId="28" borderId="60" xfId="0" applyFont="1" applyFill="1" applyBorder="1" applyAlignment="1">
      <alignment horizontal="center" vertical="center" wrapText="1"/>
    </xf>
    <xf numFmtId="0" fontId="24" fillId="28" borderId="61" xfId="0" applyFont="1" applyFill="1" applyBorder="1" applyAlignment="1">
      <alignment horizontal="center" vertical="center" wrapText="1"/>
    </xf>
    <xf numFmtId="0" fontId="24" fillId="28" borderId="43" xfId="0" applyFont="1" applyFill="1" applyBorder="1" applyAlignment="1">
      <alignment horizontal="center" vertical="center" wrapText="1"/>
    </xf>
    <xf numFmtId="0" fontId="24" fillId="28" borderId="27" xfId="0" applyFont="1" applyFill="1" applyBorder="1" applyAlignment="1">
      <alignment horizontal="center" vertical="center" wrapText="1"/>
    </xf>
    <xf numFmtId="0" fontId="24" fillId="28" borderId="0" xfId="0" applyFont="1" applyFill="1" applyAlignment="1">
      <alignment horizontal="center" vertical="center" wrapText="1"/>
    </xf>
    <xf numFmtId="0" fontId="24" fillId="28" borderId="28" xfId="0" applyFont="1" applyFill="1" applyBorder="1" applyAlignment="1">
      <alignment horizontal="center" vertical="center" wrapText="1"/>
    </xf>
    <xf numFmtId="0" fontId="24" fillId="28" borderId="29" xfId="0" applyFont="1" applyFill="1" applyBorder="1" applyAlignment="1">
      <alignment horizontal="center" vertical="center" wrapText="1"/>
    </xf>
    <xf numFmtId="0" fontId="24" fillId="28" borderId="26" xfId="0" applyFont="1" applyFill="1" applyBorder="1" applyAlignment="1">
      <alignment horizontal="center" vertical="center" wrapText="1"/>
    </xf>
    <xf numFmtId="0" fontId="24" fillId="28" borderId="30" xfId="0" applyFont="1" applyFill="1" applyBorder="1" applyAlignment="1">
      <alignment horizontal="center" vertical="center" wrapText="1"/>
    </xf>
    <xf numFmtId="0" fontId="0" fillId="8" borderId="163" xfId="0" applyFill="1" applyBorder="1" applyAlignment="1">
      <alignment horizontal="left"/>
    </xf>
    <xf numFmtId="0" fontId="0" fillId="8" borderId="25" xfId="0" applyFill="1" applyBorder="1" applyAlignment="1">
      <alignment horizontal="left"/>
    </xf>
    <xf numFmtId="0" fontId="0" fillId="8" borderId="176" xfId="0" applyFill="1" applyBorder="1" applyAlignment="1">
      <alignment wrapText="1"/>
    </xf>
    <xf numFmtId="0" fontId="0" fillId="8" borderId="161" xfId="0" applyFill="1" applyBorder="1" applyAlignment="1">
      <alignment wrapText="1"/>
    </xf>
    <xf numFmtId="0" fontId="0" fillId="8" borderId="162" xfId="0" applyFill="1" applyBorder="1" applyAlignment="1">
      <alignment wrapText="1"/>
    </xf>
    <xf numFmtId="0" fontId="0" fillId="8" borderId="163" xfId="0" applyFill="1" applyBorder="1" applyAlignment="1">
      <alignment horizontal="left" wrapText="1"/>
    </xf>
    <xf numFmtId="0" fontId="0" fillId="8" borderId="25" xfId="0" applyFill="1" applyBorder="1" applyAlignment="1">
      <alignment horizontal="left" wrapText="1"/>
    </xf>
    <xf numFmtId="3" fontId="30" fillId="2" borderId="102" xfId="0" applyNumberFormat="1" applyFont="1" applyFill="1" applyBorder="1" applyAlignment="1" applyProtection="1">
      <alignment horizontal="center" wrapText="1"/>
      <protection locked="0"/>
    </xf>
    <xf numFmtId="0" fontId="55" fillId="0" borderId="67" xfId="0" applyFont="1" applyBorder="1" applyAlignment="1">
      <alignment horizontal="center" wrapText="1"/>
    </xf>
    <xf numFmtId="0" fontId="55" fillId="0" borderId="81" xfId="0" applyFont="1" applyBorder="1" applyAlignment="1">
      <alignment horizontal="center" wrapText="1"/>
    </xf>
    <xf numFmtId="0" fontId="30" fillId="9" borderId="60" xfId="0" applyFont="1" applyFill="1" applyBorder="1" applyAlignment="1">
      <alignment horizontal="center"/>
    </xf>
    <xf numFmtId="0" fontId="0" fillId="0" borderId="61" xfId="0" applyBorder="1"/>
    <xf numFmtId="0" fontId="0" fillId="0" borderId="43" xfId="0" applyBorder="1"/>
    <xf numFmtId="0" fontId="58" fillId="0" borderId="146" xfId="1" applyFont="1" applyBorder="1" applyAlignment="1" applyProtection="1">
      <alignment horizontal="left" wrapText="1"/>
    </xf>
    <xf numFmtId="0" fontId="58" fillId="0" borderId="76" xfId="1" applyFont="1" applyBorder="1" applyAlignment="1" applyProtection="1">
      <alignment horizontal="left" wrapText="1"/>
    </xf>
    <xf numFmtId="0" fontId="45" fillId="8" borderId="10" xfId="0" applyFont="1" applyFill="1" applyBorder="1" applyAlignment="1">
      <alignment vertical="center" wrapText="1"/>
    </xf>
    <xf numFmtId="0" fontId="45" fillId="8" borderId="45" xfId="0" applyFont="1" applyFill="1" applyBorder="1" applyAlignment="1">
      <alignment vertical="center" wrapText="1"/>
    </xf>
    <xf numFmtId="3" fontId="30" fillId="2" borderId="67" xfId="0" applyNumberFormat="1" applyFont="1" applyFill="1" applyBorder="1" applyAlignment="1" applyProtection="1">
      <alignment horizontal="center" wrapText="1"/>
      <protection locked="0"/>
    </xf>
    <xf numFmtId="3" fontId="30" fillId="2" borderId="81" xfId="0" applyNumberFormat="1" applyFont="1" applyFill="1" applyBorder="1" applyAlignment="1" applyProtection="1">
      <alignment horizontal="center" wrapText="1"/>
      <protection locked="0"/>
    </xf>
    <xf numFmtId="0" fontId="30" fillId="29" borderId="102" xfId="0" applyFont="1" applyFill="1" applyBorder="1" applyAlignment="1">
      <alignment horizontal="center" wrapText="1"/>
    </xf>
    <xf numFmtId="0" fontId="30" fillId="29" borderId="67" xfId="0" applyFont="1" applyFill="1" applyBorder="1" applyAlignment="1">
      <alignment horizontal="center" wrapText="1"/>
    </xf>
    <xf numFmtId="0" fontId="30" fillId="29" borderId="81" xfId="0" applyFont="1" applyFill="1" applyBorder="1" applyAlignment="1">
      <alignment horizontal="center" wrapText="1"/>
    </xf>
    <xf numFmtId="38" fontId="0" fillId="28" borderId="102" xfId="0" applyNumberFormat="1" applyFill="1" applyBorder="1" applyAlignment="1">
      <alignment horizontal="center" vertical="center" wrapText="1"/>
    </xf>
    <xf numFmtId="38" fontId="0" fillId="28" borderId="81" xfId="0" applyNumberFormat="1" applyFill="1" applyBorder="1" applyAlignment="1">
      <alignment horizontal="center" vertical="center" wrapText="1"/>
    </xf>
    <xf numFmtId="0" fontId="0" fillId="20" borderId="27" xfId="0" applyFill="1" applyBorder="1" applyAlignment="1">
      <alignment horizontal="left" vertical="center" wrapText="1"/>
    </xf>
    <xf numFmtId="0" fontId="0" fillId="20" borderId="0" xfId="0" applyFill="1" applyAlignment="1">
      <alignment horizontal="left" vertical="center" wrapText="1"/>
    </xf>
    <xf numFmtId="0" fontId="30" fillId="9" borderId="60" xfId="0" applyFont="1" applyFill="1" applyBorder="1" applyAlignment="1">
      <alignment horizontal="center" vertical="center"/>
    </xf>
    <xf numFmtId="0" fontId="30" fillId="9" borderId="61" xfId="0" applyFont="1" applyFill="1" applyBorder="1" applyAlignment="1">
      <alignment horizontal="center" vertical="center"/>
    </xf>
    <xf numFmtId="0" fontId="30" fillId="9" borderId="43" xfId="0" applyFont="1" applyFill="1" applyBorder="1" applyAlignment="1">
      <alignment horizontal="center" vertical="center"/>
    </xf>
    <xf numFmtId="0" fontId="0" fillId="8" borderId="1" xfId="0" applyFill="1" applyBorder="1" applyAlignment="1">
      <alignment horizontal="center" vertical="top" wrapText="1"/>
    </xf>
    <xf numFmtId="0" fontId="0" fillId="8" borderId="1" xfId="0" applyFill="1" applyBorder="1" applyAlignment="1">
      <alignment horizontal="center" vertical="top"/>
    </xf>
    <xf numFmtId="0" fontId="0" fillId="8" borderId="1" xfId="0" applyFill="1" applyBorder="1" applyAlignment="1">
      <alignment horizontal="center" vertical="center" wrapText="1"/>
    </xf>
    <xf numFmtId="0" fontId="24" fillId="20" borderId="20" xfId="0" applyFont="1" applyFill="1" applyBorder="1" applyAlignment="1">
      <alignment horizontal="left"/>
    </xf>
    <xf numFmtId="0" fontId="24" fillId="20" borderId="1" xfId="0" applyFont="1" applyFill="1" applyBorder="1" applyAlignment="1">
      <alignment horizontal="left"/>
    </xf>
    <xf numFmtId="0" fontId="24" fillId="20" borderId="21" xfId="0" applyFont="1" applyFill="1" applyBorder="1" applyAlignment="1">
      <alignment horizontal="left"/>
    </xf>
    <xf numFmtId="0" fontId="88" fillId="20" borderId="163" xfId="0" applyFont="1" applyFill="1" applyBorder="1" applyAlignment="1">
      <alignment horizontal="left"/>
    </xf>
    <xf numFmtId="0" fontId="88" fillId="20" borderId="25" xfId="0" applyFont="1" applyFill="1" applyBorder="1" applyAlignment="1">
      <alignment horizontal="left"/>
    </xf>
    <xf numFmtId="0" fontId="88" fillId="20" borderId="14" xfId="0" applyFont="1" applyFill="1" applyBorder="1" applyAlignment="1">
      <alignment horizontal="left"/>
    </xf>
    <xf numFmtId="0" fontId="26" fillId="20" borderId="60" xfId="0" applyFont="1" applyFill="1" applyBorder="1" applyAlignment="1">
      <alignment horizontal="left" vertical="center"/>
    </xf>
    <xf numFmtId="0" fontId="26" fillId="20" borderId="61" xfId="0" applyFont="1" applyFill="1" applyBorder="1" applyAlignment="1">
      <alignment horizontal="left" vertical="center"/>
    </xf>
    <xf numFmtId="0" fontId="26" fillId="20" borderId="43" xfId="0" applyFont="1" applyFill="1" applyBorder="1" applyAlignment="1">
      <alignment horizontal="left" vertical="center"/>
    </xf>
    <xf numFmtId="0" fontId="0" fillId="20" borderId="27" xfId="0" applyFill="1" applyBorder="1" applyAlignment="1">
      <alignment horizontal="left" vertical="center"/>
    </xf>
    <xf numFmtId="0" fontId="0" fillId="20" borderId="0" xfId="0" applyFill="1" applyAlignment="1">
      <alignment horizontal="left" vertical="center"/>
    </xf>
    <xf numFmtId="49" fontId="34" fillId="8" borderId="13" xfId="0" applyNumberFormat="1" applyFont="1" applyFill="1" applyBorder="1" applyAlignment="1">
      <alignment horizontal="center" vertical="center" wrapText="1"/>
    </xf>
    <xf numFmtId="49" fontId="34" fillId="8" borderId="25" xfId="0" applyNumberFormat="1" applyFont="1" applyFill="1" applyBorder="1" applyAlignment="1">
      <alignment horizontal="center" vertical="center" wrapText="1"/>
    </xf>
    <xf numFmtId="49" fontId="34" fillId="8" borderId="164" xfId="0" applyNumberFormat="1" applyFont="1" applyFill="1" applyBorder="1" applyAlignment="1">
      <alignment horizontal="center" vertical="center" wrapText="1"/>
    </xf>
    <xf numFmtId="0" fontId="47" fillId="0" borderId="0" xfId="0" applyFont="1"/>
  </cellXfs>
  <cellStyles count="4">
    <cellStyle name="Heading 3" xfId="1" builtinId="18"/>
    <cellStyle name="Hyperlink" xfId="2" builtinId="8"/>
    <cellStyle name="Normal" xfId="0" builtinId="0"/>
    <cellStyle name="Normal 2" xfId="3" xr:uid="{00000000-0005-0000-0000-000003000000}"/>
  </cellStyles>
  <dxfs count="1368">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0000"/>
        </patternFill>
      </fill>
    </dxf>
    <dxf>
      <fill>
        <patternFill>
          <bgColor theme="0" tint="-0.34998626667073579"/>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fgColor theme="0"/>
          <bgColor theme="0"/>
        </patternFill>
      </fill>
    </dxf>
    <dxf>
      <font>
        <color theme="0"/>
      </font>
      <fill>
        <patternFill patternType="solid">
          <fgColor theme="0"/>
          <bgColor theme="0"/>
        </patternFill>
      </fill>
      <border>
        <left/>
        <right/>
        <top/>
        <bottom/>
      </border>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patternType="solid">
          <fgColor theme="0"/>
          <bgColor theme="0"/>
        </patternFill>
      </fill>
      <border>
        <left/>
        <right/>
        <top/>
        <bottom/>
      </border>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patternType="solid">
          <fgColor theme="0"/>
          <bgColor theme="0"/>
        </patternFill>
      </fill>
      <border>
        <left/>
        <right/>
        <top/>
        <bottom/>
      </border>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ont>
        <color theme="0"/>
      </font>
      <fill>
        <patternFill>
          <fgColor theme="0"/>
          <bgColor theme="0"/>
        </patternFill>
      </fill>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patternType="solid">
          <fgColor theme="0"/>
          <bgColor theme="0"/>
        </patternFill>
      </fill>
      <border>
        <left/>
        <right/>
        <top/>
        <bottom/>
      </border>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patternType="solid">
          <fgColor theme="0"/>
          <bgColor theme="0"/>
        </patternFill>
      </fill>
      <border>
        <left/>
        <right/>
        <top/>
        <bottom/>
      </border>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patternType="solid">
          <fgColor theme="0"/>
          <bgColor theme="0"/>
        </patternFill>
      </fill>
      <border>
        <left/>
        <right/>
        <top/>
        <bottom/>
      </border>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patternType="solid">
          <fgColor theme="0"/>
          <bgColor theme="0"/>
        </patternFill>
      </fill>
      <border>
        <left/>
        <right/>
        <top/>
        <bottom/>
      </border>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patternType="solid">
          <fgColor theme="0"/>
          <bgColor theme="0"/>
        </patternFill>
      </fill>
      <border>
        <left/>
        <right/>
        <top/>
        <bottom/>
      </border>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patternType="solid">
          <fgColor theme="0"/>
          <bgColor theme="0"/>
        </patternFill>
      </fill>
      <border>
        <left/>
        <right/>
        <top/>
        <bottom/>
      </border>
    </dxf>
    <dxf>
      <font>
        <color theme="0"/>
      </font>
      <fill>
        <patternFill>
          <fgColor theme="0"/>
          <bgColor theme="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patternType="solid">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patternType="solid">
          <fgColor theme="0"/>
          <bgColor theme="0"/>
        </patternFill>
      </fill>
      <border>
        <left/>
        <right/>
        <top/>
        <bottom/>
      </border>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patternType="solid">
          <fgColor theme="0"/>
          <bgColor theme="0"/>
        </patternFill>
      </fill>
      <border>
        <left/>
        <right/>
        <top/>
        <bottom/>
      </border>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patternType="solid">
          <fgColor theme="0"/>
          <bgColor theme="0"/>
        </patternFill>
      </fill>
      <border>
        <left/>
        <right/>
        <top/>
        <bottom/>
      </border>
    </dxf>
    <dxf>
      <font>
        <color theme="0"/>
      </font>
      <fill>
        <patternFill>
          <fgColor theme="0"/>
          <bgColor theme="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fgColor theme="0"/>
          <bgColor theme="0"/>
        </patternFill>
      </fill>
      <border>
        <vertical/>
        <horizontal/>
      </border>
    </dxf>
    <dxf>
      <font>
        <color theme="0"/>
      </font>
      <fill>
        <patternFill patternType="solid">
          <fgColor theme="0"/>
          <bgColor theme="0"/>
        </patternFill>
      </fill>
      <border>
        <left/>
        <right/>
        <top/>
        <bottom/>
      </border>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patternType="solid">
          <fgColor theme="0"/>
          <bgColor theme="0"/>
        </patternFill>
      </fill>
      <border>
        <left/>
        <right/>
        <top/>
        <bottom/>
      </border>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ont>
        <color theme="0"/>
      </font>
      <fill>
        <patternFill>
          <fgColor theme="0"/>
          <bgColor theme="0"/>
        </patternFill>
      </fill>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patternType="solid">
          <fgColor theme="0"/>
          <bgColor theme="0"/>
        </patternFill>
      </fill>
      <border>
        <left/>
        <right/>
        <top/>
        <bottom/>
      </border>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ont>
        <color theme="0"/>
      </font>
      <fill>
        <patternFill>
          <fgColor theme="0"/>
          <bgColor theme="0"/>
        </patternFill>
      </fill>
    </dxf>
    <dxf>
      <font>
        <color theme="0"/>
      </font>
      <fill>
        <patternFill>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0000"/>
        </patternFill>
      </fill>
    </dxf>
    <dxf>
      <font>
        <color theme="0"/>
      </font>
      <fill>
        <patternFill>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ont>
        <strike val="0"/>
        <u val="none"/>
        <color theme="0"/>
        <name val="Cambria"/>
        <scheme val="none"/>
      </font>
      <fill>
        <patternFill patternType="solid">
          <fgColor theme="0"/>
          <bgColor theme="0"/>
        </patternFill>
      </fill>
      <border>
        <left/>
        <right/>
        <top/>
        <bottom/>
      </border>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patternType="solid">
          <fgColor theme="0"/>
          <bgColor theme="0"/>
        </patternFill>
      </fill>
      <border>
        <left/>
        <right/>
        <top/>
        <bottom/>
      </border>
    </dxf>
    <dxf>
      <font>
        <color theme="0"/>
      </font>
      <fill>
        <patternFill>
          <bgColor theme="0"/>
        </patternFill>
      </fill>
      <border>
        <vertical/>
        <horizontal/>
      </border>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patternType="solid">
          <fgColor theme="0"/>
          <bgColor theme="0"/>
        </patternFill>
      </fill>
      <border>
        <left/>
        <right/>
        <top/>
        <bottom/>
      </border>
    </dxf>
    <dxf>
      <font>
        <color theme="0"/>
      </font>
      <fill>
        <patternFill>
          <bgColor theme="0"/>
        </patternFill>
      </fill>
      <border>
        <vertical/>
        <horizontal/>
      </border>
    </dxf>
    <dxf>
      <font>
        <color theme="0"/>
      </font>
      <fill>
        <patternFill>
          <bgColor theme="0"/>
        </patternFill>
      </fill>
      <border>
        <vertical/>
        <horizontal/>
      </border>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theme="1" tint="0.499984740745262"/>
        </patternFill>
      </fill>
    </dxf>
    <dxf>
      <font>
        <color theme="0"/>
      </font>
      <fill>
        <patternFill>
          <fgColor theme="0"/>
          <bgColor theme="0"/>
        </patternFill>
      </fill>
      <border>
        <vertical/>
        <horizontal/>
      </border>
    </dxf>
    <dxf>
      <fill>
        <patternFill>
          <bgColor rgb="FFFF0000"/>
        </patternFill>
      </fill>
    </dxf>
    <dxf>
      <font>
        <u val="none"/>
        <color theme="0"/>
      </font>
      <fill>
        <patternFill patternType="solid">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patternType="solid">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ont>
        <color theme="0"/>
      </font>
      <fill>
        <patternFill>
          <fgColor theme="0"/>
          <bgColor theme="0"/>
        </patternFill>
      </fill>
      <border>
        <vertical/>
        <horizontal/>
      </border>
    </dxf>
    <dxf>
      <font>
        <u val="none"/>
        <color theme="0"/>
      </font>
      <fill>
        <patternFill patternType="solid">
          <fgColor theme="0"/>
          <bgColor theme="0"/>
        </patternFill>
      </fill>
      <border>
        <left/>
        <right/>
        <top/>
        <bottom/>
      </border>
    </dxf>
    <dxf>
      <font>
        <strike val="0"/>
        <color theme="0"/>
      </font>
      <fill>
        <patternFill>
          <bgColor theme="0"/>
        </patternFill>
      </fill>
      <border>
        <left/>
        <right/>
        <top/>
        <bottom/>
        <vertical/>
        <horizontal/>
      </border>
    </dxf>
    <dxf>
      <font>
        <color theme="0"/>
      </font>
      <fill>
        <patternFill>
          <fgColor theme="0"/>
          <bgColor theme="0"/>
        </patternFill>
      </fill>
      <border>
        <vertical/>
        <horizontal/>
      </border>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ont>
        <color theme="0"/>
      </font>
      <fill>
        <patternFill patternType="solid">
          <fgColor theme="0"/>
          <bgColor theme="0"/>
        </patternFill>
      </fill>
      <border>
        <left/>
        <right/>
        <top/>
        <bottom/>
      </border>
    </dxf>
    <dxf>
      <font>
        <color theme="0"/>
      </font>
      <fill>
        <patternFill>
          <bgColor theme="0"/>
        </patternFill>
      </fill>
      <border>
        <vertical/>
        <horizontal/>
      </border>
    </dxf>
    <dxf>
      <font>
        <color theme="0"/>
      </font>
      <fill>
        <patternFill>
          <bgColor theme="0"/>
        </patternFill>
      </fill>
      <border>
        <vertical/>
        <horizontal/>
      </border>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0000"/>
        </patternFill>
      </fill>
    </dxf>
    <dxf>
      <font>
        <color theme="0"/>
      </font>
      <fill>
        <patternFill patternType="solid">
          <fgColor theme="0"/>
          <bgColor theme="0"/>
        </patternFill>
      </fill>
      <border>
        <left/>
        <right/>
        <top/>
        <bottom/>
      </border>
    </dxf>
    <dxf>
      <font>
        <u val="none"/>
        <color theme="0"/>
      </font>
      <fill>
        <patternFill patternType="solid">
          <fgColor theme="0"/>
          <bgColor theme="0"/>
        </patternFill>
      </fill>
      <border>
        <left/>
        <right/>
        <top/>
        <bottom/>
      </border>
    </dxf>
    <dxf>
      <font>
        <color theme="0"/>
      </font>
      <fill>
        <patternFill>
          <fgColor theme="0"/>
          <bgColor theme="0"/>
        </patternFill>
      </fill>
      <border>
        <left/>
        <right/>
        <top/>
        <bottom/>
      </border>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theme="1" tint="0.499984740745262"/>
        </patternFill>
      </fill>
    </dxf>
    <dxf>
      <fill>
        <patternFill>
          <bgColor theme="1" tint="0.499984740745262"/>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strike val="0"/>
        <u val="none"/>
        <color theme="0"/>
        <name val="Cambria"/>
        <scheme val="none"/>
      </font>
      <fill>
        <patternFill patternType="solid">
          <fgColor theme="0"/>
          <bgColor theme="0"/>
        </patternFill>
      </fill>
      <border>
        <left/>
        <right/>
        <top/>
        <bottom/>
      </border>
    </dxf>
    <dxf>
      <font>
        <strike val="0"/>
        <u val="none"/>
        <color theme="0"/>
        <name val="Cambria"/>
        <scheme val="none"/>
      </font>
      <fill>
        <patternFill patternType="solid">
          <fgColor theme="0"/>
          <bgColor theme="0"/>
        </patternFill>
      </fill>
      <border>
        <left/>
        <right/>
        <top/>
        <bottom/>
      </border>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fgColor theme="0"/>
          <bgColor theme="0"/>
        </patternFill>
      </fill>
      <border>
        <vertical/>
        <horizontal/>
      </border>
    </dxf>
    <dxf>
      <font>
        <strike val="0"/>
        <u val="none"/>
        <color theme="0"/>
        <name val="Cambria"/>
        <scheme val="none"/>
      </font>
      <fill>
        <patternFill patternType="solid">
          <fgColor theme="0"/>
          <bgColor theme="0"/>
        </patternFill>
      </fill>
      <border>
        <left/>
        <right/>
        <top/>
        <bottom/>
      </border>
    </dxf>
    <dxf>
      <font>
        <strike val="0"/>
        <u val="none"/>
        <color theme="0"/>
        <name val="Cambria"/>
        <scheme val="none"/>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fgColor theme="0"/>
          <bgColor theme="0"/>
        </patternFill>
      </fill>
      <border>
        <vertical/>
        <horizontal/>
      </border>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ont>
        <strike val="0"/>
        <u val="none"/>
        <color theme="0"/>
        <name val="Cambria"/>
        <scheme val="none"/>
      </font>
      <fill>
        <patternFill patternType="solid">
          <fgColor theme="0"/>
          <bgColor theme="0"/>
        </patternFill>
      </fill>
      <border>
        <left/>
        <right/>
        <top/>
        <bottom/>
      </border>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color theme="0"/>
      </font>
      <fill>
        <patternFill>
          <fgColor theme="0"/>
          <bgColor theme="0"/>
        </patternFill>
      </fill>
    </dxf>
    <dxf>
      <font>
        <strike val="0"/>
        <u val="none"/>
        <color theme="0"/>
        <name val="Cambria"/>
        <scheme val="none"/>
      </font>
      <fill>
        <patternFill patternType="solid">
          <fgColor theme="0"/>
          <bgColor theme="0"/>
        </patternFill>
      </fill>
      <border>
        <left/>
        <right/>
        <top/>
        <bottom/>
      </border>
    </dxf>
    <dxf>
      <font>
        <strike val="0"/>
        <u val="none"/>
        <color theme="0"/>
        <name val="Cambria"/>
        <scheme val="none"/>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ont>
        <strike val="0"/>
        <u val="none"/>
        <color theme="0"/>
        <name val="Cambria"/>
        <scheme val="none"/>
      </font>
      <fill>
        <patternFill patternType="solid">
          <fgColor theme="0"/>
          <bgColor theme="0"/>
        </patternFill>
      </fill>
      <border>
        <left/>
        <right/>
        <top/>
        <bottom/>
      </border>
    </dxf>
    <dxf>
      <font>
        <strike val="0"/>
        <u val="none"/>
        <color theme="0"/>
        <name val="Cambria"/>
        <scheme val="none"/>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ont>
        <strike val="0"/>
        <u val="none"/>
        <color theme="0"/>
        <name val="Cambria"/>
        <scheme val="none"/>
      </font>
      <fill>
        <patternFill patternType="solid">
          <fgColor theme="0"/>
          <bgColor theme="0"/>
        </patternFill>
      </fill>
      <border>
        <left/>
        <right/>
        <top/>
        <bottom/>
      </border>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color theme="0"/>
      </font>
      <fill>
        <patternFill>
          <fgColor theme="0"/>
          <bgColor theme="0"/>
        </patternFill>
      </fill>
    </dxf>
    <dxf>
      <font>
        <strike val="0"/>
        <u val="none"/>
        <color theme="0"/>
        <name val="Cambria"/>
        <scheme val="none"/>
      </font>
      <fill>
        <patternFill patternType="solid">
          <fgColor theme="0"/>
          <bgColor theme="0"/>
        </patternFill>
      </fill>
      <border>
        <left/>
        <right/>
        <top/>
        <bottom/>
      </border>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patternType="solid">
          <fgColor theme="0"/>
          <bgColor theme="0"/>
        </patternFill>
      </fill>
      <border>
        <left/>
        <right/>
        <top/>
        <bottom/>
      </border>
    </dxf>
    <dxf>
      <font>
        <strike val="0"/>
        <u val="none"/>
        <color theme="0"/>
        <name val="Cambria"/>
        <scheme val="none"/>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border>
        <vertical/>
        <horizontal/>
      </border>
    </dxf>
    <dxf>
      <font>
        <color theme="0"/>
      </font>
      <fill>
        <patternFill patternType="solid">
          <fgColor theme="0"/>
          <bgColor theme="0"/>
        </patternFill>
      </fill>
      <border>
        <left/>
        <right/>
        <top/>
        <bottom/>
      </border>
    </dxf>
    <dxf>
      <font>
        <strike val="0"/>
        <u val="none"/>
        <color theme="0"/>
        <name val="Cambria"/>
        <scheme val="none"/>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strike val="0"/>
        <u val="none"/>
        <color theme="0"/>
        <name val="Cambria"/>
        <scheme val="none"/>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patternType="solid">
          <fgColor theme="0"/>
          <bgColor theme="0"/>
        </patternFill>
      </fill>
      <border>
        <left/>
        <right/>
        <top/>
        <bottom/>
      </border>
    </dxf>
    <dxf>
      <font>
        <strike val="0"/>
        <u val="none"/>
        <color theme="0"/>
        <name val="Cambria"/>
        <scheme val="none"/>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ont>
        <strike val="0"/>
        <u val="none"/>
        <color theme="0"/>
        <name val="Cambria"/>
        <scheme val="none"/>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ont>
        <strike val="0"/>
        <u val="none"/>
        <color theme="0"/>
        <name val="Cambria"/>
        <scheme val="none"/>
      </font>
      <fill>
        <patternFill patternType="solid">
          <fgColor theme="0"/>
          <bgColor theme="0"/>
        </patternFill>
      </fill>
      <border>
        <left/>
        <right/>
        <top/>
        <bottom/>
      </border>
    </dxf>
    <dxf>
      <font>
        <color theme="0"/>
      </font>
      <fill>
        <patternFill>
          <fgColor theme="0"/>
          <bgColor theme="0"/>
        </patternFill>
      </fill>
    </dxf>
    <dxf>
      <font>
        <color theme="0"/>
      </font>
      <fill>
        <patternFill patternType="solid">
          <fgColor theme="0"/>
          <bgColor theme="0"/>
        </patternFill>
      </fill>
      <border>
        <left/>
        <right/>
        <top/>
        <bottom/>
      </border>
    </dxf>
    <dxf>
      <font>
        <color theme="0"/>
      </font>
      <fill>
        <patternFill>
          <fgColor theme="0"/>
          <bgColor theme="0"/>
        </patternFill>
      </fill>
    </dxf>
    <dxf>
      <fill>
        <patternFill>
          <bgColor rgb="FF92D050"/>
        </patternFill>
      </fill>
    </dxf>
    <dxf>
      <fill>
        <patternFill>
          <bgColor rgb="FF92D050"/>
        </patternFill>
      </fill>
    </dxf>
    <dxf>
      <fill>
        <patternFill>
          <bgColor rgb="FFFF0000"/>
        </patternFill>
      </fill>
    </dxf>
    <dxf>
      <fill>
        <patternFill>
          <bgColor rgb="FFFFFF00"/>
        </patternFill>
      </fill>
    </dxf>
    <dxf>
      <font>
        <color theme="0"/>
      </font>
      <fill>
        <patternFill patternType="solid">
          <fgColor theme="0"/>
          <bgColor theme="0"/>
        </patternFill>
      </fill>
      <border>
        <left/>
        <right/>
        <top/>
        <bottom/>
      </border>
    </dxf>
    <dxf>
      <fill>
        <patternFill>
          <bgColor theme="0" tint="-0.499984740745262"/>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ont>
        <strike val="0"/>
        <u val="none"/>
        <color theme="0"/>
        <name val="Cambria"/>
        <scheme val="none"/>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color theme="0"/>
      </font>
      <fill>
        <patternFill>
          <fgColor theme="0"/>
          <bgColor theme="0"/>
        </patternFill>
      </fill>
    </dxf>
    <dxf>
      <font>
        <strike val="0"/>
        <u val="none"/>
        <color theme="0"/>
        <name val="Cambria"/>
        <scheme val="none"/>
      </font>
      <fill>
        <patternFill patternType="solid">
          <fgColor theme="0"/>
          <bgColor theme="0"/>
        </patternFill>
      </fill>
      <border>
        <left/>
        <right/>
        <top/>
        <bottom/>
      </border>
    </dxf>
    <dxf>
      <font>
        <color theme="0"/>
      </font>
      <fill>
        <patternFill>
          <fgColor theme="0"/>
          <bgColor theme="0"/>
        </patternFill>
      </fill>
    </dxf>
    <dxf>
      <font>
        <strike val="0"/>
        <u val="none"/>
        <color theme="0"/>
        <name val="Cambria"/>
        <scheme val="none"/>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color theme="0"/>
      </font>
      <fill>
        <patternFill>
          <fgColor theme="0"/>
          <bgColor theme="0"/>
        </patternFill>
      </fill>
    </dxf>
    <dxf>
      <font>
        <strike val="0"/>
        <u val="none"/>
        <color theme="0"/>
        <name val="Cambria"/>
        <scheme val="none"/>
      </font>
      <fill>
        <patternFill patternType="solid">
          <fgColor theme="0"/>
          <bgColor theme="0"/>
        </patternFill>
      </fill>
      <border>
        <left/>
        <right/>
        <top/>
        <bottom/>
      </border>
    </dxf>
    <dxf>
      <font>
        <color theme="0"/>
      </font>
      <fill>
        <patternFill patternType="solid">
          <fgColor theme="0"/>
          <bgColor theme="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patternType="solid">
          <fgColor theme="0"/>
          <bgColor theme="0"/>
        </patternFill>
      </fill>
      <border>
        <left/>
        <right/>
        <top/>
        <bottom/>
      </border>
    </dxf>
    <dxf>
      <font>
        <color theme="0"/>
      </font>
      <fill>
        <patternFill patternType="solid">
          <fgColor theme="0"/>
          <bgColor theme="0"/>
        </patternFill>
      </fill>
      <border>
        <left/>
        <right/>
        <top/>
        <bottom/>
      </border>
    </dxf>
    <dxf>
      <font>
        <strike val="0"/>
        <u val="none"/>
        <color theme="0"/>
        <name val="Cambria"/>
        <scheme val="none"/>
      </font>
      <fill>
        <patternFill patternType="solid">
          <fgColor theme="0"/>
          <bgColor theme="0"/>
        </patternFill>
      </fill>
      <border>
        <left/>
        <right/>
        <top/>
        <bottom/>
      </border>
    </dxf>
    <dxf>
      <font>
        <strike val="0"/>
        <u val="none"/>
        <color theme="0"/>
        <name val="Cambria"/>
        <scheme val="none"/>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color theme="0"/>
      </font>
      <fill>
        <patternFill>
          <fgColor theme="0"/>
          <bgColor theme="0"/>
        </patternFill>
      </fill>
    </dxf>
    <dxf>
      <font>
        <strike val="0"/>
        <u val="none"/>
        <color theme="0"/>
        <name val="Cambria"/>
        <scheme val="none"/>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color theme="0"/>
      </font>
      <fill>
        <patternFill>
          <fgColor theme="0"/>
          <bgColor theme="0"/>
        </patternFill>
      </fill>
    </dxf>
    <dxf>
      <font>
        <strike val="0"/>
        <u val="none"/>
        <color theme="0"/>
        <name val="Cambria"/>
        <scheme val="none"/>
      </font>
      <fill>
        <patternFill patternType="solid">
          <fgColor theme="0"/>
          <bgColor theme="0"/>
        </patternFill>
      </fill>
      <border>
        <left/>
        <right/>
        <top/>
        <bottom/>
      </border>
    </dxf>
    <dxf>
      <font>
        <color theme="0"/>
      </font>
      <fill>
        <patternFill patternType="solid">
          <fgColor theme="0"/>
          <bgColor theme="0"/>
        </patternFill>
      </fill>
    </dxf>
    <dxf>
      <fill>
        <patternFill>
          <bgColor rgb="FF92D050"/>
        </patternFill>
      </fill>
    </dxf>
    <dxf>
      <fill>
        <patternFill>
          <bgColor rgb="FFFFFF00"/>
        </patternFill>
      </fill>
    </dxf>
    <dxf>
      <font>
        <color theme="0"/>
      </font>
      <fill>
        <patternFill>
          <fgColor theme="0"/>
          <bgColor theme="0"/>
        </patternFill>
      </fill>
    </dxf>
    <dxf>
      <font>
        <strike val="0"/>
        <u val="none"/>
        <color theme="0"/>
        <name val="Cambria"/>
        <scheme val="none"/>
      </font>
      <fill>
        <patternFill patternType="solid">
          <fgColor theme="0"/>
          <bgColor theme="0"/>
        </patternFill>
      </fill>
      <border>
        <left/>
        <right/>
        <top/>
        <bottom/>
      </border>
    </dxf>
    <dxf>
      <font>
        <color theme="0"/>
      </font>
      <fill>
        <patternFill patternType="solid">
          <fgColor theme="0"/>
          <bgColor theme="0"/>
        </patternFill>
      </fill>
    </dxf>
    <dxf>
      <fill>
        <patternFill>
          <bgColor rgb="FF92D050"/>
        </patternFill>
      </fill>
    </dxf>
    <dxf>
      <fill>
        <patternFill>
          <bgColor rgb="FFFFFF00"/>
        </patternFill>
      </fill>
    </dxf>
    <dxf>
      <font>
        <color theme="0"/>
      </font>
      <fill>
        <patternFill>
          <fgColor theme="0"/>
          <bgColor theme="0"/>
        </patternFill>
      </fill>
    </dxf>
    <dxf>
      <font>
        <strike val="0"/>
        <u val="none"/>
        <color theme="0"/>
        <name val="Cambria"/>
        <scheme val="none"/>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border>
        <vertical/>
        <horizontal/>
      </border>
    </dxf>
    <dxf>
      <font>
        <color theme="0"/>
      </font>
      <fill>
        <patternFill>
          <fgColor theme="0"/>
          <bgColor theme="0"/>
        </patternFill>
      </fill>
      <border>
        <vertical/>
        <horizontal/>
      </border>
    </dxf>
    <dxf>
      <font>
        <color theme="0"/>
      </font>
      <fill>
        <patternFill>
          <fgColor theme="0"/>
          <bgColor theme="0"/>
        </patternFill>
      </fill>
      <border>
        <vertical/>
        <horizontal/>
      </border>
    </dxf>
    <dxf>
      <font>
        <color theme="0"/>
      </font>
      <fill>
        <patternFill>
          <fgColor theme="0"/>
          <bgColor theme="0"/>
        </patternFill>
      </fill>
      <border>
        <vertical/>
        <horizontal/>
      </border>
    </dxf>
    <dxf>
      <font>
        <color theme="0"/>
      </font>
      <fill>
        <patternFill>
          <fgColor theme="0"/>
          <bgColor theme="0"/>
        </patternFill>
      </fill>
      <border>
        <vertical/>
        <horizontal/>
      </border>
    </dxf>
    <dxf>
      <font>
        <color theme="0"/>
      </font>
      <fill>
        <patternFill patternType="solid">
          <fgColor theme="0"/>
          <bgColor theme="0"/>
        </patternFill>
      </fill>
      <border>
        <left/>
        <right/>
        <top/>
        <bottom/>
      </border>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ont>
        <color theme="0"/>
      </font>
      <fill>
        <patternFill patternType="solid">
          <fgColor theme="0"/>
          <bgColor theme="0"/>
        </patternFill>
      </fill>
      <border>
        <left/>
        <right/>
        <top/>
        <bottom/>
      </border>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b/>
        <i val="0"/>
        <color rgb="FFFF0000"/>
      </font>
    </dxf>
    <dxf>
      <fill>
        <patternFill>
          <bgColor rgb="FF92D050"/>
        </patternFill>
      </fill>
    </dxf>
    <dxf>
      <fill>
        <patternFill>
          <bgColor rgb="FFFF0000"/>
        </patternFill>
      </fill>
    </dxf>
    <dxf>
      <font>
        <b/>
        <i val="0"/>
        <color rgb="FFFF0000"/>
      </font>
    </dxf>
    <dxf>
      <fill>
        <patternFill>
          <bgColor rgb="FF92D050"/>
        </patternFill>
      </fill>
    </dxf>
    <dxf>
      <fill>
        <patternFill>
          <bgColor rgb="FFFF000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ill>
        <patternFill>
          <bgColor theme="1"/>
        </patternFill>
      </fill>
    </dxf>
    <dxf>
      <fill>
        <patternFill>
          <bgColor theme="1"/>
        </patternFill>
      </fill>
    </dxf>
    <dxf>
      <fill>
        <patternFill>
          <bgColor theme="1"/>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ont>
        <color auto="1"/>
      </font>
      <fill>
        <patternFill>
          <bgColor rgb="FF00B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patternType="solid">
          <fgColor theme="0"/>
          <bgColor theme="0"/>
        </patternFill>
      </fill>
      <border>
        <left/>
        <right/>
        <top/>
        <bottom/>
      </border>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ont>
        <color theme="0"/>
      </font>
      <fill>
        <patternFill patternType="solid">
          <fgColor theme="0"/>
          <bgColor theme="0"/>
        </patternFill>
      </fill>
      <border>
        <left/>
        <right/>
        <top/>
        <bottom/>
      </border>
    </dxf>
    <dxf>
      <font>
        <color theme="0"/>
      </font>
      <fill>
        <patternFill patternType="solid">
          <fgColor theme="0"/>
          <bgColor theme="0"/>
        </patternFill>
      </fill>
      <border>
        <left/>
        <right/>
        <top/>
        <bottom/>
      </border>
    </dxf>
    <dxf>
      <font>
        <color theme="0"/>
      </font>
      <fill>
        <patternFill patternType="solid">
          <fgColor theme="0"/>
          <bgColor theme="0"/>
        </patternFill>
      </fill>
      <border>
        <left/>
        <right/>
        <top/>
        <bottom/>
      </border>
    </dxf>
    <dxf>
      <font>
        <color theme="0"/>
      </font>
      <fill>
        <patternFill patternType="solid">
          <fgColor theme="0"/>
          <bgColor theme="0"/>
        </patternFill>
      </fill>
      <border>
        <left/>
        <right/>
        <top/>
        <bottom/>
      </border>
    </dxf>
    <dxf>
      <font>
        <color theme="0"/>
      </font>
      <fill>
        <patternFill patternType="solid">
          <fgColor theme="0"/>
          <bgColor theme="0"/>
        </patternFill>
      </fill>
      <border>
        <left/>
        <right/>
        <top/>
        <bottom/>
      </border>
    </dxf>
    <dxf>
      <font>
        <b/>
        <i val="0"/>
        <color rgb="FFFF0000"/>
      </font>
    </dxf>
    <dxf>
      <fill>
        <patternFill>
          <bgColor rgb="FF92D050"/>
        </patternFill>
      </fill>
    </dxf>
    <dxf>
      <fill>
        <patternFill>
          <bgColor rgb="FFFF0000"/>
        </patternFill>
      </fill>
    </dxf>
    <dxf>
      <font>
        <color theme="0"/>
      </font>
      <fill>
        <patternFill patternType="solid">
          <fgColor theme="0"/>
          <bgColor theme="0"/>
        </patternFill>
      </fill>
      <border>
        <left/>
        <right/>
        <top/>
        <bottom/>
      </border>
    </dxf>
    <dxf>
      <font>
        <color theme="0"/>
      </font>
      <fill>
        <patternFill patternType="solid">
          <fgColor theme="0"/>
          <bgColor theme="0"/>
        </patternFill>
      </fill>
      <border>
        <left/>
        <right/>
        <top/>
        <bottom/>
      </border>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ont>
        <color theme="0"/>
      </font>
      <fill>
        <patternFill>
          <fgColor theme="0"/>
          <bgColor theme="0"/>
        </patternFill>
      </fill>
    </dxf>
    <dxf>
      <font>
        <color theme="0"/>
      </font>
      <fill>
        <patternFill patternType="solid">
          <fgColor theme="0"/>
          <bgColor theme="0"/>
        </patternFill>
      </fill>
      <border>
        <left/>
        <right/>
        <top/>
        <bottom/>
      </border>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ill>
        <patternFill>
          <bgColor rgb="FF92D050"/>
        </patternFill>
      </fill>
    </dxf>
    <dxf>
      <fill>
        <patternFill>
          <bgColor rgb="FF92D050"/>
        </patternFill>
      </fill>
    </dxf>
    <dxf>
      <fill>
        <patternFill>
          <bgColor rgb="FFFF0000"/>
        </patternFill>
      </fill>
    </dxf>
    <dxf>
      <fill>
        <patternFill>
          <bgColor rgb="FFFFFF00"/>
        </patternFill>
      </fill>
    </dxf>
    <dxf>
      <font>
        <color theme="0"/>
      </font>
      <fill>
        <patternFill patternType="solid">
          <fgColor theme="0"/>
          <bgColor theme="0"/>
        </patternFill>
      </fill>
      <border>
        <left/>
        <right/>
        <top/>
        <bottom/>
      </border>
    </dxf>
    <dxf>
      <fill>
        <patternFill>
          <bgColor theme="0" tint="-0.499984740745262"/>
        </patternFill>
      </fill>
    </dxf>
    <dxf>
      <font>
        <color theme="0"/>
      </font>
      <fill>
        <patternFill patternType="solid">
          <fgColor theme="0"/>
          <bgColor theme="0"/>
        </patternFill>
      </fill>
      <border>
        <left/>
        <right/>
        <top/>
        <bottom/>
      </border>
    </dxf>
    <dxf>
      <fill>
        <patternFill>
          <bgColor rgb="FF92D050"/>
        </patternFill>
      </fill>
    </dxf>
    <dxf>
      <fill>
        <patternFill>
          <bgColor rgb="FF92D050"/>
        </patternFill>
      </fill>
    </dxf>
    <dxf>
      <fill>
        <patternFill>
          <bgColor rgb="FFFF0000"/>
        </patternFill>
      </fill>
    </dxf>
    <dxf>
      <fill>
        <patternFill>
          <bgColor rgb="FFFFFF00"/>
        </patternFill>
      </fill>
    </dxf>
    <dxf>
      <font>
        <color theme="0"/>
      </font>
      <fill>
        <patternFill patternType="solid">
          <fgColor theme="0"/>
          <bgColor theme="0"/>
        </patternFill>
      </fill>
      <border>
        <left/>
        <right/>
        <top/>
        <bottom/>
      </border>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patternType="solid">
          <fgColor theme="0"/>
          <bgColor theme="0"/>
        </patternFill>
      </fill>
      <border>
        <left/>
        <right/>
        <top/>
        <bottom/>
      </border>
    </dxf>
    <dxf>
      <font>
        <color theme="0"/>
      </font>
      <fill>
        <patternFill>
          <fgColor theme="0"/>
          <bgColor theme="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ont>
        <color theme="0"/>
      </font>
      <fill>
        <patternFill>
          <fgColor theme="0"/>
          <bgColor theme="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ont>
        <color theme="0"/>
      </font>
      <fill>
        <patternFill>
          <fgColor theme="0"/>
          <bgColor theme="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patternType="solid">
          <fgColor theme="0"/>
          <bgColor theme="0"/>
        </patternFill>
      </fill>
      <border>
        <left/>
        <right/>
        <top/>
        <bottom/>
      </border>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ont>
        <color theme="0"/>
      </font>
      <fill>
        <patternFill>
          <fgColor theme="0"/>
          <bgColor theme="0"/>
        </patternFill>
      </fill>
    </dxf>
    <dxf>
      <font>
        <color theme="0"/>
      </font>
      <fill>
        <patternFill>
          <bgColor theme="0"/>
        </patternFill>
      </fill>
      <border>
        <left/>
        <right/>
        <top/>
        <bottom/>
      </border>
    </dxf>
    <dxf>
      <font>
        <color auto="1"/>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b/>
        <i val="0"/>
        <color rgb="FFFF0000"/>
      </font>
    </dxf>
    <dxf>
      <font>
        <color theme="0"/>
      </font>
      <fill>
        <patternFill patternType="solid">
          <fgColor theme="0"/>
          <bgColor theme="0"/>
        </patternFill>
      </fill>
      <border>
        <left/>
        <right/>
        <top/>
        <bottom/>
      </border>
    </dxf>
    <dxf>
      <font>
        <color theme="0"/>
      </font>
      <fill>
        <patternFill patternType="solid">
          <fgColor theme="0"/>
          <bgColor theme="0"/>
        </patternFill>
      </fill>
    </dxf>
    <dxf>
      <font>
        <color theme="0"/>
      </font>
      <fill>
        <patternFill>
          <bgColor theme="0"/>
        </patternFill>
      </fill>
      <border>
        <left/>
        <right/>
        <top/>
        <bottom/>
      </border>
    </dxf>
    <dxf>
      <font>
        <color theme="0"/>
      </font>
      <fill>
        <patternFill>
          <bgColor theme="0"/>
        </patternFill>
      </fill>
      <border>
        <left/>
        <right/>
        <top/>
        <bottom/>
      </border>
    </dxf>
    <dxf>
      <fill>
        <patternFill>
          <bgColor rgb="FF90A2DC"/>
        </patternFill>
      </fill>
      <border>
        <top style="thin">
          <color indexed="64"/>
        </top>
        <bottom style="thin">
          <color indexed="64"/>
        </bottom>
      </border>
    </dxf>
    <dxf>
      <font>
        <b/>
        <i val="0"/>
        <u/>
        <color rgb="FFFF0000"/>
      </font>
    </dxf>
    <dxf>
      <font>
        <color auto="1"/>
      </font>
      <fill>
        <patternFill>
          <bgColor rgb="FFFFFF00"/>
        </patternFill>
      </fill>
      <border>
        <left style="thin">
          <color indexed="64"/>
        </left>
        <right style="thin">
          <color indexed="64"/>
        </right>
        <top style="thin">
          <color indexed="64"/>
        </top>
        <bottom style="thin">
          <color indexed="64"/>
        </bottom>
      </border>
    </dxf>
    <dxf>
      <font>
        <color auto="1"/>
      </font>
      <fill>
        <patternFill>
          <bgColor theme="0"/>
        </patternFill>
      </fill>
      <border>
        <left/>
        <right/>
        <top/>
        <bottom/>
      </border>
    </dxf>
    <dxf>
      <font>
        <b/>
        <i val="0"/>
      </font>
      <fill>
        <patternFill>
          <bgColor rgb="FFFF0000"/>
        </patternFill>
      </fill>
    </dxf>
    <dxf>
      <fill>
        <patternFill>
          <bgColor rgb="FFFF0000"/>
        </patternFill>
      </fill>
    </dxf>
    <dxf>
      <font>
        <color theme="0"/>
      </font>
      <fill>
        <patternFill>
          <fgColor theme="0"/>
          <bgColor theme="0"/>
        </patternFill>
      </fill>
      <border>
        <top style="thin">
          <color auto="1"/>
        </top>
        <bottom style="thin">
          <color auto="1"/>
        </bottom>
        <vertical/>
        <horizontal/>
      </border>
    </dxf>
    <dxf>
      <font>
        <b/>
        <i val="0"/>
        <color rgb="FFFF0000"/>
      </font>
    </dxf>
    <dxf>
      <font>
        <color rgb="FF9C0006"/>
      </font>
      <fill>
        <patternFill>
          <bgColor rgb="FFFFC7CE"/>
        </patternFill>
      </fill>
    </dxf>
    <dxf>
      <font>
        <color rgb="FF9C0006"/>
      </font>
      <fill>
        <patternFill>
          <bgColor rgb="FFFFC7CE"/>
        </patternFill>
      </fill>
    </dxf>
    <dxf>
      <font>
        <b/>
        <i val="0"/>
        <color rgb="FFFF0000"/>
      </font>
    </dxf>
    <dxf>
      <font>
        <color rgb="FF9C0006"/>
      </font>
      <fill>
        <patternFill>
          <bgColor rgb="FFFFC7CE"/>
        </patternFill>
      </fill>
    </dxf>
    <dxf>
      <font>
        <color rgb="FF9C0006"/>
      </font>
      <fill>
        <patternFill>
          <bgColor rgb="FFFFC7CE"/>
        </patternFill>
      </fill>
    </dxf>
    <dxf>
      <font>
        <b/>
        <i val="0"/>
      </font>
      <fill>
        <patternFill>
          <bgColor rgb="FFFF0000"/>
        </patternFill>
      </fill>
    </dxf>
    <dxf>
      <font>
        <strike val="0"/>
        <color theme="0"/>
      </font>
    </dxf>
    <dxf>
      <font>
        <strike val="0"/>
        <color theme="0"/>
      </font>
    </dxf>
    <dxf>
      <font>
        <color theme="0"/>
      </font>
      <fill>
        <patternFill>
          <bgColor theme="0"/>
        </patternFill>
      </fill>
      <border>
        <left/>
        <right/>
        <top style="thin">
          <color auto="1"/>
        </top>
        <bottom/>
        <vertical/>
        <horizontal/>
      </border>
    </dxf>
    <dxf>
      <font>
        <strike val="0"/>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font>
        <color theme="0"/>
      </font>
      <fill>
        <patternFill>
          <fgColor theme="0"/>
          <bgColor theme="0"/>
        </patternFill>
      </fill>
      <border>
        <left/>
        <right/>
        <top/>
        <bottom/>
      </border>
    </dxf>
    <dxf>
      <font>
        <b/>
        <i val="0"/>
        <color rgb="FFFF0000"/>
      </font>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9525</xdr:rowOff>
        </xdr:from>
        <xdr:to>
          <xdr:col>1</xdr:col>
          <xdr:colOff>0</xdr:colOff>
          <xdr:row>0</xdr:row>
          <xdr:rowOff>190500</xdr:rowOff>
        </xdr:to>
        <xdr:sp macro="" textlink="">
          <xdr:nvSpPr>
            <xdr:cNvPr id="24813" name="Button 237" descr="Reset All Defaults" hidden="1">
              <a:extLst>
                <a:ext uri="{63B3BB69-23CF-44E3-9099-C40C66FF867C}">
                  <a14:compatExt spid="_x0000_s24813"/>
                </a:ext>
                <a:ext uri="{FF2B5EF4-FFF2-40B4-BE49-F238E27FC236}">
                  <a16:creationId xmlns:a16="http://schemas.microsoft.com/office/drawing/2014/main" id="{00000000-0008-0000-0000-0000ED600000}"/>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US" sz="1100" b="0" i="0" u="none" strike="noStrike" baseline="0">
                  <a:solidFill>
                    <a:srgbClr val="000000"/>
                  </a:solidFill>
                  <a:latin typeface="Calibri"/>
                  <a:ea typeface="Calibri"/>
                  <a:cs typeface="Calibri"/>
                </a:rPr>
                <a:t>Reset All Defaults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28575</xdr:rowOff>
        </xdr:from>
        <xdr:to>
          <xdr:col>1</xdr:col>
          <xdr:colOff>390525</xdr:colOff>
          <xdr:row>1</xdr:row>
          <xdr:rowOff>0</xdr:rowOff>
        </xdr:to>
        <xdr:sp macro="" textlink="">
          <xdr:nvSpPr>
            <xdr:cNvPr id="4160" name="Button 64"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US" sz="1100" b="0" i="0" u="none" strike="noStrike" baseline="0">
                  <a:solidFill>
                    <a:srgbClr val="000000"/>
                  </a:solidFill>
                  <a:latin typeface="Calibri"/>
                  <a:ea typeface="Calibri"/>
                  <a:cs typeface="Calibri"/>
                </a:rPr>
                <a:t>Reset Defaults</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42612</xdr:colOff>
      <xdr:row>61</xdr:row>
      <xdr:rowOff>101767</xdr:rowOff>
    </xdr:from>
    <xdr:to>
      <xdr:col>5</xdr:col>
      <xdr:colOff>576012</xdr:colOff>
      <xdr:row>63</xdr:row>
      <xdr:rowOff>44617</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2689559" y="11882688"/>
          <a:ext cx="1305427"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en-US" sz="1200" b="1" i="0" u="none" strike="noStrike" baseline="0">
              <a:solidFill>
                <a:srgbClr val="FF0000"/>
              </a:solidFill>
              <a:latin typeface="Arial"/>
              <a:cs typeface="Arial"/>
            </a:rPr>
            <a:t>enter values here</a:t>
          </a:r>
        </a:p>
      </xdr:txBody>
    </xdr:sp>
    <xdr:clientData/>
  </xdr:twoCellAnchor>
  <xdr:twoCellAnchor>
    <xdr:from>
      <xdr:col>3</xdr:col>
      <xdr:colOff>38100</xdr:colOff>
      <xdr:row>61</xdr:row>
      <xdr:rowOff>57150</xdr:rowOff>
    </xdr:from>
    <xdr:to>
      <xdr:col>3</xdr:col>
      <xdr:colOff>676275</xdr:colOff>
      <xdr:row>62</xdr:row>
      <xdr:rowOff>9525</xdr:rowOff>
    </xdr:to>
    <xdr:sp macro="" textlink="">
      <xdr:nvSpPr>
        <xdr:cNvPr id="43717" name="Line 2">
          <a:extLst>
            <a:ext uri="{FF2B5EF4-FFF2-40B4-BE49-F238E27FC236}">
              <a16:creationId xmlns:a16="http://schemas.microsoft.com/office/drawing/2014/main" id="{00000000-0008-0000-0300-0000C5AA0000}"/>
            </a:ext>
          </a:extLst>
        </xdr:cNvPr>
        <xdr:cNvSpPr>
          <a:spLocks noChangeShapeType="1"/>
        </xdr:cNvSpPr>
      </xdr:nvSpPr>
      <xdr:spPr bwMode="auto">
        <a:xfrm flipH="1" flipV="1">
          <a:off x="2447925" y="12344400"/>
          <a:ext cx="638175" cy="14287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28575</xdr:colOff>
      <xdr:row>62</xdr:row>
      <xdr:rowOff>19050</xdr:rowOff>
    </xdr:from>
    <xdr:to>
      <xdr:col>3</xdr:col>
      <xdr:colOff>619125</xdr:colOff>
      <xdr:row>62</xdr:row>
      <xdr:rowOff>142875</xdr:rowOff>
    </xdr:to>
    <xdr:sp macro="" textlink="">
      <xdr:nvSpPr>
        <xdr:cNvPr id="43718" name="Line 3">
          <a:extLst>
            <a:ext uri="{FF2B5EF4-FFF2-40B4-BE49-F238E27FC236}">
              <a16:creationId xmlns:a16="http://schemas.microsoft.com/office/drawing/2014/main" id="{00000000-0008-0000-0300-0000C6AA0000}"/>
            </a:ext>
          </a:extLst>
        </xdr:cNvPr>
        <xdr:cNvSpPr>
          <a:spLocks noChangeShapeType="1"/>
        </xdr:cNvSpPr>
      </xdr:nvSpPr>
      <xdr:spPr bwMode="auto">
        <a:xfrm flipH="1">
          <a:off x="2438400" y="12496800"/>
          <a:ext cx="590550" cy="1238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142875</xdr:colOff>
      <xdr:row>61</xdr:row>
      <xdr:rowOff>151897</xdr:rowOff>
    </xdr:from>
    <xdr:to>
      <xdr:col>12</xdr:col>
      <xdr:colOff>695325</xdr:colOff>
      <xdr:row>64</xdr:row>
      <xdr:rowOff>40104</xdr:rowOff>
    </xdr:to>
    <xdr:sp macro="" textlink="">
      <xdr:nvSpPr>
        <xdr:cNvPr id="5" name="Text Box 1">
          <a:extLst>
            <a:ext uri="{FF2B5EF4-FFF2-40B4-BE49-F238E27FC236}">
              <a16:creationId xmlns:a16="http://schemas.microsoft.com/office/drawing/2014/main" id="{00000000-0008-0000-0300-000005000000}"/>
            </a:ext>
          </a:extLst>
        </xdr:cNvPr>
        <xdr:cNvSpPr txBox="1">
          <a:spLocks noChangeArrowheads="1"/>
        </xdr:cNvSpPr>
      </xdr:nvSpPr>
      <xdr:spPr bwMode="auto">
        <a:xfrm>
          <a:off x="8254164" y="11932818"/>
          <a:ext cx="1214187" cy="4597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en-US" sz="1200" b="1" i="0" u="none" strike="noStrike" baseline="0">
              <a:solidFill>
                <a:srgbClr val="FF0000"/>
              </a:solidFill>
              <a:latin typeface="Arial"/>
              <a:cs typeface="Arial"/>
            </a:rPr>
            <a:t>enter values here</a:t>
          </a:r>
        </a:p>
      </xdr:txBody>
    </xdr:sp>
    <xdr:clientData/>
  </xdr:twoCellAnchor>
  <xdr:twoCellAnchor>
    <xdr:from>
      <xdr:col>10</xdr:col>
      <xdr:colOff>47625</xdr:colOff>
      <xdr:row>61</xdr:row>
      <xdr:rowOff>76200</xdr:rowOff>
    </xdr:from>
    <xdr:to>
      <xdr:col>11</xdr:col>
      <xdr:colOff>47625</xdr:colOff>
      <xdr:row>62</xdr:row>
      <xdr:rowOff>38100</xdr:rowOff>
    </xdr:to>
    <xdr:sp macro="" textlink="">
      <xdr:nvSpPr>
        <xdr:cNvPr id="43720" name="Line 2">
          <a:extLst>
            <a:ext uri="{FF2B5EF4-FFF2-40B4-BE49-F238E27FC236}">
              <a16:creationId xmlns:a16="http://schemas.microsoft.com/office/drawing/2014/main" id="{00000000-0008-0000-0300-0000C8AA0000}"/>
            </a:ext>
          </a:extLst>
        </xdr:cNvPr>
        <xdr:cNvSpPr>
          <a:spLocks noChangeShapeType="1"/>
        </xdr:cNvSpPr>
      </xdr:nvSpPr>
      <xdr:spPr bwMode="auto">
        <a:xfrm flipH="1" flipV="1">
          <a:off x="8543925" y="12363450"/>
          <a:ext cx="981075" cy="15240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85725</xdr:colOff>
      <xdr:row>62</xdr:row>
      <xdr:rowOff>19050</xdr:rowOff>
    </xdr:from>
    <xdr:to>
      <xdr:col>10</xdr:col>
      <xdr:colOff>847725</xdr:colOff>
      <xdr:row>62</xdr:row>
      <xdr:rowOff>142875</xdr:rowOff>
    </xdr:to>
    <xdr:sp macro="" textlink="">
      <xdr:nvSpPr>
        <xdr:cNvPr id="43721" name="Line 3">
          <a:extLst>
            <a:ext uri="{FF2B5EF4-FFF2-40B4-BE49-F238E27FC236}">
              <a16:creationId xmlns:a16="http://schemas.microsoft.com/office/drawing/2014/main" id="{00000000-0008-0000-0300-0000C9AA0000}"/>
            </a:ext>
          </a:extLst>
        </xdr:cNvPr>
        <xdr:cNvSpPr>
          <a:spLocks noChangeShapeType="1"/>
        </xdr:cNvSpPr>
      </xdr:nvSpPr>
      <xdr:spPr bwMode="auto">
        <a:xfrm flipH="1">
          <a:off x="8582025" y="12496800"/>
          <a:ext cx="762000" cy="1238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42612</xdr:colOff>
      <xdr:row>75</xdr:row>
      <xdr:rowOff>101767</xdr:rowOff>
    </xdr:from>
    <xdr:to>
      <xdr:col>5</xdr:col>
      <xdr:colOff>576012</xdr:colOff>
      <xdr:row>77</xdr:row>
      <xdr:rowOff>44617</xdr:rowOff>
    </xdr:to>
    <xdr:sp macro="" textlink="">
      <xdr:nvSpPr>
        <xdr:cNvPr id="8" name="Text Box 1">
          <a:extLst>
            <a:ext uri="{FF2B5EF4-FFF2-40B4-BE49-F238E27FC236}">
              <a16:creationId xmlns:a16="http://schemas.microsoft.com/office/drawing/2014/main" id="{00000000-0008-0000-0300-000008000000}"/>
            </a:ext>
          </a:extLst>
        </xdr:cNvPr>
        <xdr:cNvSpPr txBox="1">
          <a:spLocks noChangeArrowheads="1"/>
        </xdr:cNvSpPr>
      </xdr:nvSpPr>
      <xdr:spPr bwMode="auto">
        <a:xfrm>
          <a:off x="2759744" y="11882688"/>
          <a:ext cx="1305426"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en-US" sz="1200" b="1" i="0" u="none" strike="noStrike" baseline="0">
              <a:solidFill>
                <a:srgbClr val="FF0000"/>
              </a:solidFill>
              <a:latin typeface="Arial"/>
              <a:cs typeface="Arial"/>
            </a:rPr>
            <a:t>enter values here</a:t>
          </a:r>
        </a:p>
      </xdr:txBody>
    </xdr:sp>
    <xdr:clientData/>
  </xdr:twoCellAnchor>
  <xdr:twoCellAnchor>
    <xdr:from>
      <xdr:col>3</xdr:col>
      <xdr:colOff>38100</xdr:colOff>
      <xdr:row>75</xdr:row>
      <xdr:rowOff>57150</xdr:rowOff>
    </xdr:from>
    <xdr:to>
      <xdr:col>3</xdr:col>
      <xdr:colOff>676275</xdr:colOff>
      <xdr:row>76</xdr:row>
      <xdr:rowOff>9525</xdr:rowOff>
    </xdr:to>
    <xdr:sp macro="" textlink="">
      <xdr:nvSpPr>
        <xdr:cNvPr id="43723" name="Line 2">
          <a:extLst>
            <a:ext uri="{FF2B5EF4-FFF2-40B4-BE49-F238E27FC236}">
              <a16:creationId xmlns:a16="http://schemas.microsoft.com/office/drawing/2014/main" id="{00000000-0008-0000-0300-0000CBAA0000}"/>
            </a:ext>
          </a:extLst>
        </xdr:cNvPr>
        <xdr:cNvSpPr>
          <a:spLocks noChangeShapeType="1"/>
        </xdr:cNvSpPr>
      </xdr:nvSpPr>
      <xdr:spPr bwMode="auto">
        <a:xfrm flipH="1" flipV="1">
          <a:off x="2447925" y="14916150"/>
          <a:ext cx="638175" cy="1619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28575</xdr:colOff>
      <xdr:row>76</xdr:row>
      <xdr:rowOff>19050</xdr:rowOff>
    </xdr:from>
    <xdr:to>
      <xdr:col>3</xdr:col>
      <xdr:colOff>619125</xdr:colOff>
      <xdr:row>76</xdr:row>
      <xdr:rowOff>142875</xdr:rowOff>
    </xdr:to>
    <xdr:sp macro="" textlink="">
      <xdr:nvSpPr>
        <xdr:cNvPr id="43724" name="Line 3">
          <a:extLst>
            <a:ext uri="{FF2B5EF4-FFF2-40B4-BE49-F238E27FC236}">
              <a16:creationId xmlns:a16="http://schemas.microsoft.com/office/drawing/2014/main" id="{00000000-0008-0000-0300-0000CCAA0000}"/>
            </a:ext>
          </a:extLst>
        </xdr:cNvPr>
        <xdr:cNvSpPr>
          <a:spLocks noChangeShapeType="1"/>
        </xdr:cNvSpPr>
      </xdr:nvSpPr>
      <xdr:spPr bwMode="auto">
        <a:xfrm flipH="1">
          <a:off x="2438400" y="15087600"/>
          <a:ext cx="590550" cy="1238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142875</xdr:colOff>
      <xdr:row>75</xdr:row>
      <xdr:rowOff>151897</xdr:rowOff>
    </xdr:from>
    <xdr:to>
      <xdr:col>12</xdr:col>
      <xdr:colOff>695325</xdr:colOff>
      <xdr:row>78</xdr:row>
      <xdr:rowOff>40104</xdr:rowOff>
    </xdr:to>
    <xdr:sp macro="" textlink="">
      <xdr:nvSpPr>
        <xdr:cNvPr id="11" name="Text Box 1">
          <a:extLst>
            <a:ext uri="{FF2B5EF4-FFF2-40B4-BE49-F238E27FC236}">
              <a16:creationId xmlns:a16="http://schemas.microsoft.com/office/drawing/2014/main" id="{00000000-0008-0000-0300-00000B000000}"/>
            </a:ext>
          </a:extLst>
        </xdr:cNvPr>
        <xdr:cNvSpPr txBox="1">
          <a:spLocks noChangeArrowheads="1"/>
        </xdr:cNvSpPr>
      </xdr:nvSpPr>
      <xdr:spPr bwMode="auto">
        <a:xfrm>
          <a:off x="8324349" y="11932818"/>
          <a:ext cx="1214187" cy="4597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en-US" sz="1200" b="1" i="0" u="none" strike="noStrike" baseline="0">
              <a:solidFill>
                <a:srgbClr val="FF0000"/>
              </a:solidFill>
              <a:latin typeface="Arial"/>
              <a:cs typeface="Arial"/>
            </a:rPr>
            <a:t>enter values here</a:t>
          </a:r>
        </a:p>
      </xdr:txBody>
    </xdr:sp>
    <xdr:clientData/>
  </xdr:twoCellAnchor>
  <xdr:twoCellAnchor>
    <xdr:from>
      <xdr:col>10</xdr:col>
      <xdr:colOff>47625</xdr:colOff>
      <xdr:row>75</xdr:row>
      <xdr:rowOff>76200</xdr:rowOff>
    </xdr:from>
    <xdr:to>
      <xdr:col>11</xdr:col>
      <xdr:colOff>47625</xdr:colOff>
      <xdr:row>76</xdr:row>
      <xdr:rowOff>38100</xdr:rowOff>
    </xdr:to>
    <xdr:sp macro="" textlink="">
      <xdr:nvSpPr>
        <xdr:cNvPr id="43726" name="Line 2">
          <a:extLst>
            <a:ext uri="{FF2B5EF4-FFF2-40B4-BE49-F238E27FC236}">
              <a16:creationId xmlns:a16="http://schemas.microsoft.com/office/drawing/2014/main" id="{00000000-0008-0000-0300-0000CEAA0000}"/>
            </a:ext>
          </a:extLst>
        </xdr:cNvPr>
        <xdr:cNvSpPr>
          <a:spLocks noChangeShapeType="1"/>
        </xdr:cNvSpPr>
      </xdr:nvSpPr>
      <xdr:spPr bwMode="auto">
        <a:xfrm flipH="1" flipV="1">
          <a:off x="8543925" y="14935200"/>
          <a:ext cx="981075" cy="17145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85725</xdr:colOff>
      <xdr:row>76</xdr:row>
      <xdr:rowOff>19050</xdr:rowOff>
    </xdr:from>
    <xdr:to>
      <xdr:col>10</xdr:col>
      <xdr:colOff>847725</xdr:colOff>
      <xdr:row>76</xdr:row>
      <xdr:rowOff>142875</xdr:rowOff>
    </xdr:to>
    <xdr:sp macro="" textlink="">
      <xdr:nvSpPr>
        <xdr:cNvPr id="43727" name="Line 3">
          <a:extLst>
            <a:ext uri="{FF2B5EF4-FFF2-40B4-BE49-F238E27FC236}">
              <a16:creationId xmlns:a16="http://schemas.microsoft.com/office/drawing/2014/main" id="{00000000-0008-0000-0300-0000CFAA0000}"/>
            </a:ext>
          </a:extLst>
        </xdr:cNvPr>
        <xdr:cNvSpPr>
          <a:spLocks noChangeShapeType="1"/>
        </xdr:cNvSpPr>
      </xdr:nvSpPr>
      <xdr:spPr bwMode="auto">
        <a:xfrm flipH="1">
          <a:off x="8582025" y="15087600"/>
          <a:ext cx="762000" cy="1238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42612</xdr:colOff>
      <xdr:row>89</xdr:row>
      <xdr:rowOff>101767</xdr:rowOff>
    </xdr:from>
    <xdr:to>
      <xdr:col>5</xdr:col>
      <xdr:colOff>576012</xdr:colOff>
      <xdr:row>91</xdr:row>
      <xdr:rowOff>44617</xdr:rowOff>
    </xdr:to>
    <xdr:sp macro="" textlink="">
      <xdr:nvSpPr>
        <xdr:cNvPr id="14" name="Text Box 1">
          <a:extLst>
            <a:ext uri="{FF2B5EF4-FFF2-40B4-BE49-F238E27FC236}">
              <a16:creationId xmlns:a16="http://schemas.microsoft.com/office/drawing/2014/main" id="{00000000-0008-0000-0300-00000E000000}"/>
            </a:ext>
          </a:extLst>
        </xdr:cNvPr>
        <xdr:cNvSpPr txBox="1">
          <a:spLocks noChangeArrowheads="1"/>
        </xdr:cNvSpPr>
      </xdr:nvSpPr>
      <xdr:spPr bwMode="auto">
        <a:xfrm>
          <a:off x="2759744" y="11882688"/>
          <a:ext cx="1305426"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en-US" sz="1200" b="1" i="0" u="none" strike="noStrike" baseline="0">
              <a:solidFill>
                <a:srgbClr val="FF0000"/>
              </a:solidFill>
              <a:latin typeface="Arial"/>
              <a:cs typeface="Arial"/>
            </a:rPr>
            <a:t>enter values here</a:t>
          </a:r>
        </a:p>
      </xdr:txBody>
    </xdr:sp>
    <xdr:clientData/>
  </xdr:twoCellAnchor>
  <xdr:twoCellAnchor>
    <xdr:from>
      <xdr:col>3</xdr:col>
      <xdr:colOff>38100</xdr:colOff>
      <xdr:row>89</xdr:row>
      <xdr:rowOff>57150</xdr:rowOff>
    </xdr:from>
    <xdr:to>
      <xdr:col>3</xdr:col>
      <xdr:colOff>676275</xdr:colOff>
      <xdr:row>90</xdr:row>
      <xdr:rowOff>9525</xdr:rowOff>
    </xdr:to>
    <xdr:sp macro="" textlink="">
      <xdr:nvSpPr>
        <xdr:cNvPr id="43729" name="Line 2">
          <a:extLst>
            <a:ext uri="{FF2B5EF4-FFF2-40B4-BE49-F238E27FC236}">
              <a16:creationId xmlns:a16="http://schemas.microsoft.com/office/drawing/2014/main" id="{00000000-0008-0000-0300-0000D1AA0000}"/>
            </a:ext>
          </a:extLst>
        </xdr:cNvPr>
        <xdr:cNvSpPr>
          <a:spLocks noChangeShapeType="1"/>
        </xdr:cNvSpPr>
      </xdr:nvSpPr>
      <xdr:spPr bwMode="auto">
        <a:xfrm flipH="1" flipV="1">
          <a:off x="2447925" y="17249775"/>
          <a:ext cx="638175" cy="17145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28575</xdr:colOff>
      <xdr:row>90</xdr:row>
      <xdr:rowOff>19050</xdr:rowOff>
    </xdr:from>
    <xdr:to>
      <xdr:col>3</xdr:col>
      <xdr:colOff>619125</xdr:colOff>
      <xdr:row>90</xdr:row>
      <xdr:rowOff>142875</xdr:rowOff>
    </xdr:to>
    <xdr:sp macro="" textlink="">
      <xdr:nvSpPr>
        <xdr:cNvPr id="43730" name="Line 3">
          <a:extLst>
            <a:ext uri="{FF2B5EF4-FFF2-40B4-BE49-F238E27FC236}">
              <a16:creationId xmlns:a16="http://schemas.microsoft.com/office/drawing/2014/main" id="{00000000-0008-0000-0300-0000D2AA0000}"/>
            </a:ext>
          </a:extLst>
        </xdr:cNvPr>
        <xdr:cNvSpPr>
          <a:spLocks noChangeShapeType="1"/>
        </xdr:cNvSpPr>
      </xdr:nvSpPr>
      <xdr:spPr bwMode="auto">
        <a:xfrm flipH="1">
          <a:off x="2438400" y="17430750"/>
          <a:ext cx="590550" cy="1238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142875</xdr:colOff>
      <xdr:row>89</xdr:row>
      <xdr:rowOff>151897</xdr:rowOff>
    </xdr:from>
    <xdr:to>
      <xdr:col>12</xdr:col>
      <xdr:colOff>695325</xdr:colOff>
      <xdr:row>92</xdr:row>
      <xdr:rowOff>40104</xdr:rowOff>
    </xdr:to>
    <xdr:sp macro="" textlink="">
      <xdr:nvSpPr>
        <xdr:cNvPr id="17" name="Text Box 1">
          <a:extLst>
            <a:ext uri="{FF2B5EF4-FFF2-40B4-BE49-F238E27FC236}">
              <a16:creationId xmlns:a16="http://schemas.microsoft.com/office/drawing/2014/main" id="{00000000-0008-0000-0300-000011000000}"/>
            </a:ext>
          </a:extLst>
        </xdr:cNvPr>
        <xdr:cNvSpPr txBox="1">
          <a:spLocks noChangeArrowheads="1"/>
        </xdr:cNvSpPr>
      </xdr:nvSpPr>
      <xdr:spPr bwMode="auto">
        <a:xfrm>
          <a:off x="8324349" y="11932818"/>
          <a:ext cx="1214187" cy="4597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en-US" sz="1200" b="1" i="0" u="none" strike="noStrike" baseline="0">
              <a:solidFill>
                <a:srgbClr val="FF0000"/>
              </a:solidFill>
              <a:latin typeface="Arial"/>
              <a:cs typeface="Arial"/>
            </a:rPr>
            <a:t>enter values here</a:t>
          </a:r>
        </a:p>
      </xdr:txBody>
    </xdr:sp>
    <xdr:clientData/>
  </xdr:twoCellAnchor>
  <xdr:twoCellAnchor>
    <xdr:from>
      <xdr:col>10</xdr:col>
      <xdr:colOff>47625</xdr:colOff>
      <xdr:row>89</xdr:row>
      <xdr:rowOff>76200</xdr:rowOff>
    </xdr:from>
    <xdr:to>
      <xdr:col>11</xdr:col>
      <xdr:colOff>47625</xdr:colOff>
      <xdr:row>90</xdr:row>
      <xdr:rowOff>38100</xdr:rowOff>
    </xdr:to>
    <xdr:sp macro="" textlink="">
      <xdr:nvSpPr>
        <xdr:cNvPr id="43732" name="Line 2">
          <a:extLst>
            <a:ext uri="{FF2B5EF4-FFF2-40B4-BE49-F238E27FC236}">
              <a16:creationId xmlns:a16="http://schemas.microsoft.com/office/drawing/2014/main" id="{00000000-0008-0000-0300-0000D4AA0000}"/>
            </a:ext>
          </a:extLst>
        </xdr:cNvPr>
        <xdr:cNvSpPr>
          <a:spLocks noChangeShapeType="1"/>
        </xdr:cNvSpPr>
      </xdr:nvSpPr>
      <xdr:spPr bwMode="auto">
        <a:xfrm flipH="1" flipV="1">
          <a:off x="8543925" y="17268825"/>
          <a:ext cx="981075" cy="18097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85725</xdr:colOff>
      <xdr:row>90</xdr:row>
      <xdr:rowOff>19050</xdr:rowOff>
    </xdr:from>
    <xdr:to>
      <xdr:col>10</xdr:col>
      <xdr:colOff>847725</xdr:colOff>
      <xdr:row>90</xdr:row>
      <xdr:rowOff>142875</xdr:rowOff>
    </xdr:to>
    <xdr:sp macro="" textlink="">
      <xdr:nvSpPr>
        <xdr:cNvPr id="43733" name="Line 3">
          <a:extLst>
            <a:ext uri="{FF2B5EF4-FFF2-40B4-BE49-F238E27FC236}">
              <a16:creationId xmlns:a16="http://schemas.microsoft.com/office/drawing/2014/main" id="{00000000-0008-0000-0300-0000D5AA0000}"/>
            </a:ext>
          </a:extLst>
        </xdr:cNvPr>
        <xdr:cNvSpPr>
          <a:spLocks noChangeShapeType="1"/>
        </xdr:cNvSpPr>
      </xdr:nvSpPr>
      <xdr:spPr bwMode="auto">
        <a:xfrm flipH="1">
          <a:off x="8582025" y="17430750"/>
          <a:ext cx="762000" cy="1238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42612</xdr:colOff>
      <xdr:row>103</xdr:row>
      <xdr:rowOff>101767</xdr:rowOff>
    </xdr:from>
    <xdr:to>
      <xdr:col>5</xdr:col>
      <xdr:colOff>576012</xdr:colOff>
      <xdr:row>105</xdr:row>
      <xdr:rowOff>44617</xdr:rowOff>
    </xdr:to>
    <xdr:sp macro="" textlink="">
      <xdr:nvSpPr>
        <xdr:cNvPr id="26" name="Text Box 1">
          <a:extLst>
            <a:ext uri="{FF2B5EF4-FFF2-40B4-BE49-F238E27FC236}">
              <a16:creationId xmlns:a16="http://schemas.microsoft.com/office/drawing/2014/main" id="{00000000-0008-0000-0300-00001A000000}"/>
            </a:ext>
          </a:extLst>
        </xdr:cNvPr>
        <xdr:cNvSpPr txBox="1">
          <a:spLocks noChangeArrowheads="1"/>
        </xdr:cNvSpPr>
      </xdr:nvSpPr>
      <xdr:spPr bwMode="auto">
        <a:xfrm>
          <a:off x="2769143" y="16734798"/>
          <a:ext cx="1307307" cy="2524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en-US" sz="1200" b="1" i="0" u="none" strike="noStrike" baseline="0">
              <a:solidFill>
                <a:srgbClr val="FF0000"/>
              </a:solidFill>
              <a:latin typeface="Arial"/>
              <a:cs typeface="Arial"/>
            </a:rPr>
            <a:t>enter values here</a:t>
          </a:r>
        </a:p>
      </xdr:txBody>
    </xdr:sp>
    <xdr:clientData/>
  </xdr:twoCellAnchor>
  <xdr:twoCellAnchor>
    <xdr:from>
      <xdr:col>3</xdr:col>
      <xdr:colOff>38100</xdr:colOff>
      <xdr:row>103</xdr:row>
      <xdr:rowOff>57150</xdr:rowOff>
    </xdr:from>
    <xdr:to>
      <xdr:col>3</xdr:col>
      <xdr:colOff>676275</xdr:colOff>
      <xdr:row>104</xdr:row>
      <xdr:rowOff>9525</xdr:rowOff>
    </xdr:to>
    <xdr:sp macro="" textlink="">
      <xdr:nvSpPr>
        <xdr:cNvPr id="43735" name="Line 2">
          <a:extLst>
            <a:ext uri="{FF2B5EF4-FFF2-40B4-BE49-F238E27FC236}">
              <a16:creationId xmlns:a16="http://schemas.microsoft.com/office/drawing/2014/main" id="{00000000-0008-0000-0300-0000D7AA0000}"/>
            </a:ext>
          </a:extLst>
        </xdr:cNvPr>
        <xdr:cNvSpPr>
          <a:spLocks noChangeShapeType="1"/>
        </xdr:cNvSpPr>
      </xdr:nvSpPr>
      <xdr:spPr bwMode="auto">
        <a:xfrm flipH="1" flipV="1">
          <a:off x="2447925" y="19640550"/>
          <a:ext cx="638175" cy="19050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28575</xdr:colOff>
      <xdr:row>104</xdr:row>
      <xdr:rowOff>19050</xdr:rowOff>
    </xdr:from>
    <xdr:to>
      <xdr:col>3</xdr:col>
      <xdr:colOff>619125</xdr:colOff>
      <xdr:row>104</xdr:row>
      <xdr:rowOff>142875</xdr:rowOff>
    </xdr:to>
    <xdr:sp macro="" textlink="">
      <xdr:nvSpPr>
        <xdr:cNvPr id="43736" name="Line 3">
          <a:extLst>
            <a:ext uri="{FF2B5EF4-FFF2-40B4-BE49-F238E27FC236}">
              <a16:creationId xmlns:a16="http://schemas.microsoft.com/office/drawing/2014/main" id="{00000000-0008-0000-0300-0000D8AA0000}"/>
            </a:ext>
          </a:extLst>
        </xdr:cNvPr>
        <xdr:cNvSpPr>
          <a:spLocks noChangeShapeType="1"/>
        </xdr:cNvSpPr>
      </xdr:nvSpPr>
      <xdr:spPr bwMode="auto">
        <a:xfrm flipH="1">
          <a:off x="2438400" y="19840575"/>
          <a:ext cx="590550" cy="1238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142875</xdr:colOff>
      <xdr:row>103</xdr:row>
      <xdr:rowOff>151897</xdr:rowOff>
    </xdr:from>
    <xdr:to>
      <xdr:col>12</xdr:col>
      <xdr:colOff>695325</xdr:colOff>
      <xdr:row>106</xdr:row>
      <xdr:rowOff>40104</xdr:rowOff>
    </xdr:to>
    <xdr:sp macro="" textlink="">
      <xdr:nvSpPr>
        <xdr:cNvPr id="29" name="Text Box 1">
          <a:extLst>
            <a:ext uri="{FF2B5EF4-FFF2-40B4-BE49-F238E27FC236}">
              <a16:creationId xmlns:a16="http://schemas.microsoft.com/office/drawing/2014/main" id="{00000000-0008-0000-0300-00001D000000}"/>
            </a:ext>
          </a:extLst>
        </xdr:cNvPr>
        <xdr:cNvSpPr txBox="1">
          <a:spLocks noChangeArrowheads="1"/>
        </xdr:cNvSpPr>
      </xdr:nvSpPr>
      <xdr:spPr bwMode="auto">
        <a:xfrm>
          <a:off x="8584406" y="16784928"/>
          <a:ext cx="1207294" cy="352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en-US" sz="1200" b="1" i="0" u="none" strike="noStrike" baseline="0">
              <a:solidFill>
                <a:srgbClr val="FF0000"/>
              </a:solidFill>
              <a:latin typeface="Arial"/>
              <a:cs typeface="Arial"/>
            </a:rPr>
            <a:t>enter values here</a:t>
          </a:r>
        </a:p>
      </xdr:txBody>
    </xdr:sp>
    <xdr:clientData/>
  </xdr:twoCellAnchor>
  <xdr:twoCellAnchor>
    <xdr:from>
      <xdr:col>10</xdr:col>
      <xdr:colOff>47625</xdr:colOff>
      <xdr:row>103</xdr:row>
      <xdr:rowOff>76200</xdr:rowOff>
    </xdr:from>
    <xdr:to>
      <xdr:col>11</xdr:col>
      <xdr:colOff>47625</xdr:colOff>
      <xdr:row>104</xdr:row>
      <xdr:rowOff>38100</xdr:rowOff>
    </xdr:to>
    <xdr:sp macro="" textlink="">
      <xdr:nvSpPr>
        <xdr:cNvPr id="43738" name="Line 2">
          <a:extLst>
            <a:ext uri="{FF2B5EF4-FFF2-40B4-BE49-F238E27FC236}">
              <a16:creationId xmlns:a16="http://schemas.microsoft.com/office/drawing/2014/main" id="{00000000-0008-0000-0300-0000DAAA0000}"/>
            </a:ext>
          </a:extLst>
        </xdr:cNvPr>
        <xdr:cNvSpPr>
          <a:spLocks noChangeShapeType="1"/>
        </xdr:cNvSpPr>
      </xdr:nvSpPr>
      <xdr:spPr bwMode="auto">
        <a:xfrm flipH="1" flipV="1">
          <a:off x="8543925" y="19659600"/>
          <a:ext cx="981075" cy="2000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85725</xdr:colOff>
      <xdr:row>104</xdr:row>
      <xdr:rowOff>19050</xdr:rowOff>
    </xdr:from>
    <xdr:to>
      <xdr:col>10</xdr:col>
      <xdr:colOff>847725</xdr:colOff>
      <xdr:row>104</xdr:row>
      <xdr:rowOff>142875</xdr:rowOff>
    </xdr:to>
    <xdr:sp macro="" textlink="">
      <xdr:nvSpPr>
        <xdr:cNvPr id="43739" name="Line 3">
          <a:extLst>
            <a:ext uri="{FF2B5EF4-FFF2-40B4-BE49-F238E27FC236}">
              <a16:creationId xmlns:a16="http://schemas.microsoft.com/office/drawing/2014/main" id="{00000000-0008-0000-0300-0000DBAA0000}"/>
            </a:ext>
          </a:extLst>
        </xdr:cNvPr>
        <xdr:cNvSpPr>
          <a:spLocks noChangeShapeType="1"/>
        </xdr:cNvSpPr>
      </xdr:nvSpPr>
      <xdr:spPr bwMode="auto">
        <a:xfrm flipH="1">
          <a:off x="8582025" y="19840575"/>
          <a:ext cx="762000" cy="1238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28575</xdr:colOff>
          <xdr:row>0</xdr:row>
          <xdr:rowOff>9525</xdr:rowOff>
        </xdr:from>
        <xdr:to>
          <xdr:col>1</xdr:col>
          <xdr:colOff>533400</xdr:colOff>
          <xdr:row>0</xdr:row>
          <xdr:rowOff>238125</xdr:rowOff>
        </xdr:to>
        <xdr:sp macro="" textlink="">
          <xdr:nvSpPr>
            <xdr:cNvPr id="36617" name="Button 5897" hidden="1">
              <a:extLst>
                <a:ext uri="{63B3BB69-23CF-44E3-9099-C40C66FF867C}">
                  <a14:compatExt spid="_x0000_s36617"/>
                </a:ext>
                <a:ext uri="{FF2B5EF4-FFF2-40B4-BE49-F238E27FC236}">
                  <a16:creationId xmlns:a16="http://schemas.microsoft.com/office/drawing/2014/main" id="{00000000-0008-0000-0300-0000098F0000}"/>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US" sz="1100" b="0" i="0" u="none" strike="noStrike" baseline="0">
                  <a:solidFill>
                    <a:srgbClr val="000000"/>
                  </a:solidFill>
                  <a:latin typeface="Calibri"/>
                  <a:ea typeface="Calibri"/>
                  <a:cs typeface="Calibri"/>
                </a:rPr>
                <a:t>Reset Defaults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9525</xdr:rowOff>
        </xdr:from>
        <xdr:to>
          <xdr:col>1</xdr:col>
          <xdr:colOff>428625</xdr:colOff>
          <xdr:row>0</xdr:row>
          <xdr:rowOff>228600</xdr:rowOff>
        </xdr:to>
        <xdr:sp macro="" textlink="">
          <xdr:nvSpPr>
            <xdr:cNvPr id="19479" name="Button 23" hidden="1">
              <a:extLst>
                <a:ext uri="{63B3BB69-23CF-44E3-9099-C40C66FF867C}">
                  <a14:compatExt spid="_x0000_s19479"/>
                </a:ext>
                <a:ext uri="{FF2B5EF4-FFF2-40B4-BE49-F238E27FC236}">
                  <a16:creationId xmlns:a16="http://schemas.microsoft.com/office/drawing/2014/main" id="{00000000-0008-0000-0400-0000174C0000}"/>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US" sz="1100" b="0" i="0" u="none" strike="noStrike" baseline="0">
                  <a:solidFill>
                    <a:srgbClr val="000000"/>
                  </a:solidFill>
                  <a:latin typeface="Calibri"/>
                  <a:ea typeface="Calibri"/>
                  <a:cs typeface="Calibri"/>
                </a:rPr>
                <a:t>Reset Defaults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1016000</xdr:colOff>
      <xdr:row>1</xdr:row>
      <xdr:rowOff>12700</xdr:rowOff>
    </xdr:to>
    <xdr:sp macro="" textlink="">
      <xdr:nvSpPr>
        <xdr:cNvPr id="51223" name="CommandButton1" hidden="1">
          <a:extLst>
            <a:ext uri="{63B3BB69-23CF-44E3-9099-C40C66FF867C}">
              <a14:compatExt xmlns:a14="http://schemas.microsoft.com/office/drawing/2010/main" spid="_x0000_s51223"/>
            </a:ext>
            <a:ext uri="{FF2B5EF4-FFF2-40B4-BE49-F238E27FC236}">
              <a16:creationId xmlns:a16="http://schemas.microsoft.com/office/drawing/2014/main" id="{00000000-0008-0000-0500-000017C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0</xdr:colOff>
      <xdr:row>0</xdr:row>
      <xdr:rowOff>0</xdr:rowOff>
    </xdr:from>
    <xdr:to>
      <xdr:col>0</xdr:col>
      <xdr:colOff>1016000</xdr:colOff>
      <xdr:row>1</xdr:row>
      <xdr:rowOff>12700</xdr:rowOff>
    </xdr:to>
    <xdr:pic>
      <xdr:nvPicPr>
        <xdr:cNvPr id="2" name="CommandButton1">
          <a:extLst>
            <a:ext uri="{FF2B5EF4-FFF2-40B4-BE49-F238E27FC236}">
              <a16:creationId xmlns:a16="http://schemas.microsoft.com/office/drawing/2014/main" id="{00000000-0008-0000-0500-000002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6000" cy="2794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28575</xdr:rowOff>
        </xdr:from>
        <xdr:to>
          <xdr:col>0</xdr:col>
          <xdr:colOff>1019175</xdr:colOff>
          <xdr:row>0</xdr:row>
          <xdr:rowOff>295275</xdr:rowOff>
        </xdr:to>
        <xdr:sp macro="" textlink="">
          <xdr:nvSpPr>
            <xdr:cNvPr id="3130" name="Button 58" hidden="1">
              <a:extLst>
                <a:ext uri="{63B3BB69-23CF-44E3-9099-C40C66FF867C}">
                  <a14:compatExt spid="_x0000_s3130"/>
                </a:ext>
                <a:ext uri="{FF2B5EF4-FFF2-40B4-BE49-F238E27FC236}">
                  <a16:creationId xmlns:a16="http://schemas.microsoft.com/office/drawing/2014/main" id="{00000000-0008-0000-0800-00003A0C0000}"/>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US" sz="1100" b="0" i="0" u="none" strike="noStrike" baseline="0">
                  <a:solidFill>
                    <a:srgbClr val="000000"/>
                  </a:solidFill>
                  <a:latin typeface="Calibri"/>
                  <a:ea typeface="Calibri"/>
                  <a:cs typeface="Calibri"/>
                </a:rPr>
                <a:t>Reset Defaults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98</xdr:col>
          <xdr:colOff>333375</xdr:colOff>
          <xdr:row>11</xdr:row>
          <xdr:rowOff>85725</xdr:rowOff>
        </xdr:from>
        <xdr:to>
          <xdr:col>100</xdr:col>
          <xdr:colOff>276225</xdr:colOff>
          <xdr:row>12</xdr:row>
          <xdr:rowOff>142875</xdr:rowOff>
        </xdr:to>
        <xdr:sp macro="" textlink="">
          <xdr:nvSpPr>
            <xdr:cNvPr id="17461" name="Button 53" hidden="1">
              <a:extLst>
                <a:ext uri="{63B3BB69-23CF-44E3-9099-C40C66FF867C}">
                  <a14:compatExt spid="_x0000_s17461"/>
                </a:ext>
                <a:ext uri="{FF2B5EF4-FFF2-40B4-BE49-F238E27FC236}">
                  <a16:creationId xmlns:a16="http://schemas.microsoft.com/office/drawing/2014/main" id="{00000000-0008-0000-0A00-000035440000}"/>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US" sz="1100" b="0" i="0" u="none" strike="noStrike" baseline="0">
                  <a:solidFill>
                    <a:srgbClr val="000000"/>
                  </a:solidFill>
                  <a:latin typeface="Calibri"/>
                  <a:ea typeface="Calibri"/>
                  <a:cs typeface="Calibri"/>
                </a:rPr>
                <a:t>Reset Defaults</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9525</xdr:rowOff>
        </xdr:from>
        <xdr:to>
          <xdr:col>1</xdr:col>
          <xdr:colOff>371475</xdr:colOff>
          <xdr:row>0</xdr:row>
          <xdr:rowOff>257175</xdr:rowOff>
        </xdr:to>
        <xdr:sp macro="" textlink="">
          <xdr:nvSpPr>
            <xdr:cNvPr id="22541" name="Button 13" hidden="1">
              <a:extLst>
                <a:ext uri="{63B3BB69-23CF-44E3-9099-C40C66FF867C}">
                  <a14:compatExt spid="_x0000_s22541"/>
                </a:ext>
                <a:ext uri="{FF2B5EF4-FFF2-40B4-BE49-F238E27FC236}">
                  <a16:creationId xmlns:a16="http://schemas.microsoft.com/office/drawing/2014/main" id="{00000000-0008-0000-0C00-00000D580000}"/>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US" sz="1100" b="0" i="0" u="none" strike="noStrike" baseline="0">
                  <a:solidFill>
                    <a:srgbClr val="000000"/>
                  </a:solidFill>
                  <a:latin typeface="Calibri"/>
                  <a:ea typeface="Calibri"/>
                  <a:cs typeface="Calibri"/>
                </a:rPr>
                <a:t>Reset Defaults</a:t>
              </a:r>
            </a:p>
          </xdr:txBody>
        </xdr:sp>
        <xdr:clientData fPrintsWithSheet="0"/>
      </xdr:twoCellAnchor>
    </mc:Choice>
    <mc:Fallback/>
  </mc:AlternateContent>
</xdr:wsDr>
</file>

<file path=xl/persons/person.xml><?xml version="1.0" encoding="utf-8"?>
<personList xmlns="http://schemas.microsoft.com/office/spreadsheetml/2018/threadedcomments" xmlns:x="http://schemas.openxmlformats.org/spreadsheetml/2006/main">
  <person displayName="Abhijit Warke" id="{D6910E2C-0AEC-4F14-831D-250D4FB176E1}" userId="S::awarke@athenahealth.com::83ea23e9-7be2-4023-b7e6-17b8c566025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17" dT="2019-12-09T08:12:06.04" personId="{D6910E2C-0AEC-4F14-831D-250D4FB176E1}" id="{9C95249B-3368-4206-9139-654D904B2007}">
    <text>Please enter the exisitng DB size under row 5</text>
  </threadedComment>
</ThreadedComments>
</file>

<file path=xl/threadedComments/threadedComment2.xml><?xml version="1.0" encoding="utf-8"?>
<ThreadedComments xmlns="http://schemas.microsoft.com/office/spreadsheetml/2018/threadedcomments" xmlns:x="http://schemas.openxmlformats.org/spreadsheetml/2006/main">
  <threadedComment ref="B9" dT="2020-02-05T13:11:29.69" personId="{D6910E2C-0AEC-4F14-831D-250D4FB176E1}" id="{5510C652-AC2B-48F7-9F9A-87FDF7157DAC}">
    <text>Please fill in details under "Database Server Info" tab Cell K5, for RAM recommendation.This is mandatory.</text>
  </threadedComment>
  <threadedComment ref="B10" dT="2019-07-26T12:48:41.89" personId="{D6910E2C-0AEC-4F14-831D-250D4FB176E1}" id="{47B31795-0132-4A84-BE03-D4251DA61EA6}">
    <text>Please fill in details under "Database Server Info" tab for DB server Disk storage recommendation. This is mandatory.</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www.cpubenchmark.net/high_end_cpus.html" TargetMode="External"/><Relationship Id="rId7" Type="http://schemas.openxmlformats.org/officeDocument/2006/relationships/ctrlProp" Target="../ctrlProps/ctrlProp6.xml"/><Relationship Id="rId2" Type="http://schemas.openxmlformats.org/officeDocument/2006/relationships/hyperlink" Target="http://products.amd.com/en-na/opteroncpuresult.aspx" TargetMode="External"/><Relationship Id="rId1" Type="http://schemas.openxmlformats.org/officeDocument/2006/relationships/hyperlink" Target="http://ark.intel.com/?_sm_au_=iVVrs0p5fJVtvMfH" TargetMode="External"/><Relationship Id="rId6" Type="http://schemas.openxmlformats.org/officeDocument/2006/relationships/vmlDrawing" Target="../drawings/vmlDrawing8.vml"/><Relationship Id="rId5" Type="http://schemas.openxmlformats.org/officeDocument/2006/relationships/drawing" Target="../drawings/drawing7.xml"/><Relationship Id="rId4"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1.bin"/><Relationship Id="rId5" Type="http://schemas.openxmlformats.org/officeDocument/2006/relationships/comments" Target="../comments8.xml"/><Relationship Id="rId4" Type="http://schemas.openxmlformats.org/officeDocument/2006/relationships/ctrlProp" Target="../ctrlProps/ctrlProp7.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hyperlink" Target="mailto:KnowledgeServicesOrganization@athenahealth.com"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ark.intel.com/?_sm_au_=iVVrs0p5fJVtvMfH" TargetMode="External"/><Relationship Id="rId7" Type="http://schemas.openxmlformats.org/officeDocument/2006/relationships/printerSettings" Target="../printerSettings/printerSettings7.bin"/><Relationship Id="rId2" Type="http://schemas.openxmlformats.org/officeDocument/2006/relationships/hyperlink" Target="http://www.cpubenchmark.net/high_end_cpus.html" TargetMode="External"/><Relationship Id="rId1" Type="http://schemas.openxmlformats.org/officeDocument/2006/relationships/hyperlink" Target="http://products.amd.com/en-na/opteroncpuresult.aspx" TargetMode="External"/><Relationship Id="rId6" Type="http://schemas.openxmlformats.org/officeDocument/2006/relationships/hyperlink" Target="http://ark.intel.com/?_sm_au_=iVVW7rZp6kR7m6rV" TargetMode="External"/><Relationship Id="rId11" Type="http://schemas.openxmlformats.org/officeDocument/2006/relationships/comments" Target="../comments4.xml"/><Relationship Id="rId5" Type="http://schemas.openxmlformats.org/officeDocument/2006/relationships/hyperlink" Target="http://www.cpubenchmark.net/high_end_cpus.html" TargetMode="External"/><Relationship Id="rId10" Type="http://schemas.openxmlformats.org/officeDocument/2006/relationships/ctrlProp" Target="../ctrlProps/ctrlProp5.xml"/><Relationship Id="rId4" Type="http://schemas.openxmlformats.org/officeDocument/2006/relationships/hyperlink" Target="http://products.amd.com/en-na/opteroncpuresult.aspx" TargetMode="External"/><Relationship Id="rId9"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8"/>
  <sheetViews>
    <sheetView tabSelected="1" zoomScaleNormal="100" workbookViewId="0">
      <selection activeCell="A2" sqref="A2:B2"/>
    </sheetView>
  </sheetViews>
  <sheetFormatPr defaultColWidth="8.86328125" defaultRowHeight="14.25"/>
  <cols>
    <col min="1" max="1" width="17.3984375" customWidth="1"/>
    <col min="2" max="2" width="161.265625" customWidth="1"/>
  </cols>
  <sheetData>
    <row r="1" spans="1:4" ht="14.65" thickBot="1"/>
    <row r="2" spans="1:4" ht="39" customHeight="1" thickBot="1">
      <c r="A2" s="901" t="s">
        <v>1220</v>
      </c>
      <c r="B2" s="902"/>
    </row>
    <row r="3" spans="1:4" ht="39" customHeight="1">
      <c r="A3" s="908" t="s">
        <v>1076</v>
      </c>
      <c r="B3" s="908"/>
    </row>
    <row r="4" spans="1:4">
      <c r="A4" s="838" t="s">
        <v>1205</v>
      </c>
    </row>
    <row r="5" spans="1:4" ht="17.25" customHeight="1">
      <c r="A5" s="907" t="s">
        <v>1077</v>
      </c>
      <c r="B5" s="907"/>
      <c r="C5" s="52"/>
      <c r="D5" s="52"/>
    </row>
    <row r="6" spans="1:4" ht="39.75" customHeight="1" thickBot="1">
      <c r="A6" s="900" t="s">
        <v>1221</v>
      </c>
      <c r="B6" s="900"/>
    </row>
    <row r="7" spans="1:4" s="3" customFormat="1" ht="28.5" customHeight="1" thickBot="1">
      <c r="A7" s="905" t="s">
        <v>1191</v>
      </c>
      <c r="B7" s="906"/>
    </row>
    <row r="8" spans="1:4" ht="49.5" customHeight="1">
      <c r="A8" s="903" t="s">
        <v>1222</v>
      </c>
      <c r="B8" s="903"/>
    </row>
    <row r="10" spans="1:4" ht="18.75" customHeight="1">
      <c r="A10" s="904" t="s">
        <v>843</v>
      </c>
      <c r="B10" s="904"/>
    </row>
    <row r="12" spans="1:4" ht="27.75" customHeight="1">
      <c r="A12" s="899" t="s">
        <v>1072</v>
      </c>
      <c r="B12" s="900"/>
    </row>
    <row r="13" spans="1:4">
      <c r="A13" s="22"/>
    </row>
    <row r="14" spans="1:4" ht="27.75" customHeight="1">
      <c r="A14" s="899" t="s">
        <v>139</v>
      </c>
      <c r="B14" s="900"/>
    </row>
    <row r="15" spans="1:4">
      <c r="A15" s="22"/>
    </row>
    <row r="16" spans="1:4" ht="27.75" hidden="1" customHeight="1">
      <c r="A16" s="899" t="s">
        <v>352</v>
      </c>
      <c r="B16" s="899"/>
    </row>
    <row r="17" spans="1:2" hidden="1">
      <c r="A17" s="22"/>
    </row>
    <row r="18" spans="1:2" ht="27.75" customHeight="1">
      <c r="A18" s="899" t="s">
        <v>1070</v>
      </c>
      <c r="B18" s="900"/>
    </row>
    <row r="19" spans="1:2">
      <c r="A19" s="22"/>
    </row>
    <row r="20" spans="1:2" ht="30" customHeight="1">
      <c r="A20" s="912" t="s">
        <v>898</v>
      </c>
      <c r="B20" s="900"/>
    </row>
    <row r="21" spans="1:2">
      <c r="A21" s="22"/>
    </row>
    <row r="22" spans="1:2" ht="27.75" customHeight="1">
      <c r="A22" s="899" t="s">
        <v>1071</v>
      </c>
      <c r="B22" s="900"/>
    </row>
    <row r="24" spans="1:2" ht="15.75" customHeight="1">
      <c r="A24" s="910" t="s">
        <v>1078</v>
      </c>
      <c r="B24" s="911"/>
    </row>
    <row r="26" spans="1:2" ht="28.5" customHeight="1">
      <c r="A26" s="910" t="s">
        <v>353</v>
      </c>
      <c r="B26" s="911"/>
    </row>
    <row r="28" spans="1:2" hidden="1">
      <c r="A28" s="909" t="s">
        <v>291</v>
      </c>
      <c r="B28" s="909"/>
    </row>
  </sheetData>
  <sheetProtection algorithmName="SHA-512" hashValue="mi80P7ncq+2oCK03nVikFrK0zmM/T//J+o1Wmwk+Q6jdAHbCkRoLwGs4KPGyubR92Dm4rBZhSDkH75C345o/qw==" saltValue="1/Q64Sl/5lyaZSYf/cllGg==" spinCount="100000" sheet="1" objects="1" scenarios="1"/>
  <mergeCells count="16">
    <mergeCell ref="A14:B14"/>
    <mergeCell ref="A16:B16"/>
    <mergeCell ref="A18:B18"/>
    <mergeCell ref="A22:B22"/>
    <mergeCell ref="A28:B28"/>
    <mergeCell ref="A26:B26"/>
    <mergeCell ref="A24:B24"/>
    <mergeCell ref="A20:B20"/>
    <mergeCell ref="A12:B12"/>
    <mergeCell ref="A2:B2"/>
    <mergeCell ref="A6:B6"/>
    <mergeCell ref="A8:B8"/>
    <mergeCell ref="A10:B10"/>
    <mergeCell ref="A7:B7"/>
    <mergeCell ref="A5:B5"/>
    <mergeCell ref="A3:B3"/>
  </mergeCells>
  <pageMargins left="0.7" right="0.7" top="0.75" bottom="0.75" header="0.3" footer="0.3"/>
  <pageSetup orientation="portrait" horizontalDpi="90" verticalDpi="90" r:id="rId1"/>
  <drawing r:id="rId2"/>
  <legacyDrawing r:id="rId3"/>
  <mc:AlternateContent xmlns:mc="http://schemas.openxmlformats.org/markup-compatibility/2006">
    <mc:Choice Requires="x14">
      <controls>
        <mc:AlternateContent xmlns:mc="http://schemas.openxmlformats.org/markup-compatibility/2006">
          <mc:Choice Requires="x14">
            <control shapeId="24813" r:id="rId4" name="Button 237">
              <controlPr defaultSize="0" print="0" autoFill="0" autoPict="0" macro="[0]!Reset_All" altText="Reset All Defaults">
                <anchor moveWithCells="1">
                  <from>
                    <xdr:col>0</xdr:col>
                    <xdr:colOff>9525</xdr:colOff>
                    <xdr:row>0</xdr:row>
                    <xdr:rowOff>9525</xdr:rowOff>
                  </from>
                  <to>
                    <xdr:col>1</xdr:col>
                    <xdr:colOff>0</xdr:colOff>
                    <xdr:row>0</xdr:row>
                    <xdr:rowOff>190500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FFFF00"/>
  </sheetPr>
  <dimension ref="A1:L63"/>
  <sheetViews>
    <sheetView topLeftCell="A46" workbookViewId="0">
      <selection activeCell="B49" sqref="B49"/>
    </sheetView>
  </sheetViews>
  <sheetFormatPr defaultColWidth="8.86328125" defaultRowHeight="14.25"/>
  <cols>
    <col min="1" max="1" width="44.3984375" customWidth="1"/>
    <col min="2" max="2" width="13.3984375" customWidth="1"/>
    <col min="3" max="3" width="9.86328125" customWidth="1"/>
    <col min="4" max="4" width="45.265625" customWidth="1"/>
    <col min="5" max="5" width="12.265625" customWidth="1"/>
    <col min="8" max="8" width="20.3984375" customWidth="1"/>
    <col min="10" max="10" width="19.1328125" customWidth="1"/>
    <col min="11" max="11" width="9" customWidth="1"/>
    <col min="12" max="12" width="23" customWidth="1"/>
  </cols>
  <sheetData>
    <row r="1" spans="1:12" ht="14.65" thickBot="1">
      <c r="B1" s="4" t="s">
        <v>102</v>
      </c>
      <c r="C1" s="4"/>
      <c r="D1" s="4" t="s">
        <v>101</v>
      </c>
      <c r="G1" s="4" t="s">
        <v>62</v>
      </c>
    </row>
    <row r="2" spans="1:12" ht="15" thickTop="1" thickBot="1">
      <c r="B2" s="13"/>
    </row>
    <row r="3" spans="1:12" ht="15" thickTop="1" thickBot="1">
      <c r="A3" t="s">
        <v>104</v>
      </c>
      <c r="B3" s="13">
        <v>8</v>
      </c>
    </row>
    <row r="4" spans="1:12" ht="15" thickTop="1" thickBot="1">
      <c r="A4" t="s">
        <v>103</v>
      </c>
      <c r="B4" s="13">
        <v>10</v>
      </c>
    </row>
    <row r="5" spans="1:12" ht="15" thickTop="1" thickBot="1">
      <c r="B5" s="13">
        <v>4096</v>
      </c>
      <c r="D5" t="s">
        <v>71</v>
      </c>
      <c r="G5" t="s">
        <v>64</v>
      </c>
    </row>
    <row r="6" spans="1:12" ht="15" thickTop="1" thickBot="1">
      <c r="B6" s="13">
        <v>80</v>
      </c>
      <c r="D6" t="s">
        <v>433</v>
      </c>
      <c r="G6" t="s">
        <v>817</v>
      </c>
    </row>
    <row r="7" spans="1:12" ht="15" thickTop="1" thickBot="1">
      <c r="B7" s="13">
        <v>2</v>
      </c>
      <c r="D7" t="s">
        <v>106</v>
      </c>
    </row>
    <row r="8" spans="1:12" ht="15" thickTop="1" thickBot="1">
      <c r="B8" s="13">
        <v>16384</v>
      </c>
      <c r="D8" s="15" t="s">
        <v>107</v>
      </c>
    </row>
    <row r="9" spans="1:12" ht="15" thickTop="1" thickBot="1">
      <c r="B9" s="13">
        <v>32768</v>
      </c>
      <c r="D9" s="15" t="s">
        <v>108</v>
      </c>
    </row>
    <row r="10" spans="1:12" ht="15" thickTop="1" thickBot="1">
      <c r="B10" s="13">
        <v>1</v>
      </c>
      <c r="D10" t="s">
        <v>110</v>
      </c>
    </row>
    <row r="11" spans="1:12" ht="14.65" thickTop="1"/>
    <row r="13" spans="1:12">
      <c r="B13" s="14" t="s">
        <v>105</v>
      </c>
    </row>
    <row r="14" spans="1:12">
      <c r="A14" t="s">
        <v>835</v>
      </c>
    </row>
    <row r="15" spans="1:12">
      <c r="A15" t="s">
        <v>805</v>
      </c>
      <c r="B15" s="240" t="s">
        <v>538</v>
      </c>
      <c r="C15" s="274" t="s">
        <v>540</v>
      </c>
      <c r="D15" s="275" t="s">
        <v>539</v>
      </c>
      <c r="E15" s="23" t="s">
        <v>540</v>
      </c>
      <c r="G15" t="s">
        <v>816</v>
      </c>
    </row>
    <row r="16" spans="1:12">
      <c r="B16" s="26" t="s">
        <v>734</v>
      </c>
      <c r="D16" s="258" t="s">
        <v>60</v>
      </c>
      <c r="E16" s="25"/>
      <c r="H16" s="23" t="s">
        <v>847</v>
      </c>
      <c r="J16" s="23" t="s">
        <v>848</v>
      </c>
      <c r="L16" s="294" t="s">
        <v>849</v>
      </c>
    </row>
    <row r="17" spans="1:12">
      <c r="A17" t="s">
        <v>831</v>
      </c>
      <c r="B17" s="26">
        <v>32</v>
      </c>
      <c r="C17">
        <v>4</v>
      </c>
      <c r="D17" s="258" t="s">
        <v>837</v>
      </c>
      <c r="E17" s="25">
        <v>4</v>
      </c>
      <c r="H17" s="294" t="s">
        <v>60</v>
      </c>
      <c r="J17" s="296" t="s">
        <v>60</v>
      </c>
      <c r="L17" s="296" t="s">
        <v>60</v>
      </c>
    </row>
    <row r="18" spans="1:12">
      <c r="A18" t="s">
        <v>806</v>
      </c>
      <c r="B18" s="26">
        <v>384</v>
      </c>
      <c r="C18">
        <v>4</v>
      </c>
      <c r="D18" s="258" t="s">
        <v>818</v>
      </c>
      <c r="E18" s="25">
        <v>4</v>
      </c>
      <c r="H18" s="25" t="s">
        <v>99</v>
      </c>
      <c r="J18" s="291" t="s">
        <v>472</v>
      </c>
      <c r="L18" s="291" t="s">
        <v>500</v>
      </c>
    </row>
    <row r="19" spans="1:12">
      <c r="A19" t="s">
        <v>807</v>
      </c>
      <c r="B19" s="26">
        <v>384</v>
      </c>
      <c r="C19">
        <v>4</v>
      </c>
      <c r="D19" s="258" t="s">
        <v>819</v>
      </c>
      <c r="E19" s="25">
        <v>4</v>
      </c>
      <c r="H19" s="25" t="s">
        <v>140</v>
      </c>
      <c r="J19" s="291" t="s">
        <v>473</v>
      </c>
      <c r="L19" s="291" t="s">
        <v>850</v>
      </c>
    </row>
    <row r="20" spans="1:12">
      <c r="A20" t="s">
        <v>808</v>
      </c>
      <c r="B20" s="26">
        <v>1536</v>
      </c>
      <c r="C20">
        <v>6</v>
      </c>
      <c r="D20" s="258" t="s">
        <v>804</v>
      </c>
      <c r="E20" s="25">
        <v>6</v>
      </c>
      <c r="H20" s="25" t="s">
        <v>464</v>
      </c>
      <c r="J20" s="291" t="s">
        <v>474</v>
      </c>
      <c r="L20" s="291" t="s">
        <v>499</v>
      </c>
    </row>
    <row r="21" spans="1:12">
      <c r="A21" t="s">
        <v>809</v>
      </c>
      <c r="B21" s="257">
        <v>2048</v>
      </c>
      <c r="C21" s="5">
        <v>6</v>
      </c>
      <c r="D21" s="258" t="s">
        <v>803</v>
      </c>
      <c r="E21" s="291">
        <v>6</v>
      </c>
      <c r="H21" s="25" t="s">
        <v>98</v>
      </c>
      <c r="J21" s="292" t="s">
        <v>510</v>
      </c>
      <c r="L21" s="291" t="s">
        <v>501</v>
      </c>
    </row>
    <row r="22" spans="1:12">
      <c r="A22" t="s">
        <v>810</v>
      </c>
      <c r="B22" s="26">
        <v>1536</v>
      </c>
      <c r="C22">
        <v>8</v>
      </c>
      <c r="D22" s="258" t="s">
        <v>802</v>
      </c>
      <c r="E22" s="25">
        <v>8</v>
      </c>
      <c r="H22" s="295" t="s">
        <v>100</v>
      </c>
      <c r="L22" s="291" t="s">
        <v>502</v>
      </c>
    </row>
    <row r="23" spans="1:12">
      <c r="A23" t="s">
        <v>811</v>
      </c>
      <c r="B23" s="257"/>
      <c r="C23">
        <v>8</v>
      </c>
      <c r="D23" s="258" t="s">
        <v>796</v>
      </c>
      <c r="E23" s="25">
        <v>8</v>
      </c>
      <c r="L23" s="292" t="s">
        <v>503</v>
      </c>
    </row>
    <row r="24" spans="1:12">
      <c r="A24" t="s">
        <v>812</v>
      </c>
      <c r="B24" s="257"/>
      <c r="C24">
        <v>10</v>
      </c>
      <c r="D24" s="258" t="s">
        <v>801</v>
      </c>
      <c r="E24" s="25">
        <v>10</v>
      </c>
      <c r="H24" s="23" t="s">
        <v>851</v>
      </c>
      <c r="J24" s="209" t="s">
        <v>852</v>
      </c>
    </row>
    <row r="25" spans="1:12">
      <c r="A25" t="s">
        <v>813</v>
      </c>
      <c r="B25" s="257">
        <v>1536</v>
      </c>
      <c r="C25">
        <v>10</v>
      </c>
      <c r="D25" s="258" t="s">
        <v>797</v>
      </c>
      <c r="E25" s="25">
        <v>10</v>
      </c>
      <c r="H25" s="294" t="s">
        <v>60</v>
      </c>
      <c r="J25" s="294" t="s">
        <v>60</v>
      </c>
    </row>
    <row r="26" spans="1:12">
      <c r="A26" t="s">
        <v>814</v>
      </c>
      <c r="B26" s="257"/>
      <c r="C26">
        <v>12</v>
      </c>
      <c r="D26" s="258" t="s">
        <v>800</v>
      </c>
      <c r="E26" s="25">
        <v>12</v>
      </c>
      <c r="H26" s="25" t="s">
        <v>114</v>
      </c>
      <c r="J26" s="25" t="s">
        <v>45</v>
      </c>
      <c r="L26" s="209" t="s">
        <v>853</v>
      </c>
    </row>
    <row r="27" spans="1:12">
      <c r="A27" t="s">
        <v>832</v>
      </c>
      <c r="B27" s="257"/>
      <c r="C27">
        <v>12</v>
      </c>
      <c r="D27" s="258" t="s">
        <v>798</v>
      </c>
      <c r="E27" s="25">
        <v>12</v>
      </c>
      <c r="H27" s="25" t="s">
        <v>115</v>
      </c>
      <c r="J27" s="295" t="s">
        <v>42</v>
      </c>
      <c r="L27" s="25" t="s">
        <v>60</v>
      </c>
    </row>
    <row r="28" spans="1:12">
      <c r="A28" t="s">
        <v>815</v>
      </c>
      <c r="B28" s="257"/>
      <c r="C28">
        <v>14</v>
      </c>
      <c r="D28" s="258" t="s">
        <v>799</v>
      </c>
      <c r="E28" s="25">
        <v>14</v>
      </c>
      <c r="H28" s="25" t="s">
        <v>116</v>
      </c>
      <c r="L28" s="25" t="s">
        <v>870</v>
      </c>
    </row>
    <row r="29" spans="1:12">
      <c r="A29" t="s">
        <v>833</v>
      </c>
      <c r="B29" s="257"/>
      <c r="C29">
        <v>14</v>
      </c>
      <c r="D29" s="258" t="s">
        <v>795</v>
      </c>
      <c r="E29" s="25">
        <v>14</v>
      </c>
      <c r="H29" s="295" t="s">
        <v>42</v>
      </c>
      <c r="J29" s="23" t="s">
        <v>871</v>
      </c>
      <c r="L29" s="25" t="s">
        <v>702</v>
      </c>
    </row>
    <row r="30" spans="1:12">
      <c r="A30" t="s">
        <v>834</v>
      </c>
      <c r="B30" s="257"/>
      <c r="C30">
        <v>15</v>
      </c>
      <c r="D30" s="258" t="s">
        <v>737</v>
      </c>
      <c r="E30" s="25">
        <v>15</v>
      </c>
      <c r="J30" s="25" t="s">
        <v>868</v>
      </c>
      <c r="L30" s="25" t="s">
        <v>792</v>
      </c>
    </row>
    <row r="31" spans="1:12">
      <c r="B31" s="257"/>
      <c r="C31">
        <v>16</v>
      </c>
      <c r="D31" s="258" t="s">
        <v>793</v>
      </c>
      <c r="E31" s="25">
        <v>16</v>
      </c>
      <c r="J31" s="25" t="s">
        <v>867</v>
      </c>
      <c r="L31" s="25" t="s">
        <v>100</v>
      </c>
    </row>
    <row r="32" spans="1:12">
      <c r="B32" s="257"/>
      <c r="C32">
        <v>18</v>
      </c>
      <c r="D32" s="258" t="s">
        <v>794</v>
      </c>
      <c r="E32" s="25">
        <v>18</v>
      </c>
      <c r="J32" s="25" t="s">
        <v>869</v>
      </c>
      <c r="L32" s="25"/>
    </row>
    <row r="33" spans="2:12">
      <c r="B33" s="213"/>
      <c r="C33" s="214"/>
      <c r="D33" s="273" t="s">
        <v>100</v>
      </c>
      <c r="E33" s="295"/>
      <c r="J33" s="295" t="s">
        <v>100</v>
      </c>
      <c r="L33" s="25"/>
    </row>
    <row r="34" spans="2:12">
      <c r="L34" s="295"/>
    </row>
    <row r="38" spans="2:12">
      <c r="C38" t="s">
        <v>828</v>
      </c>
      <c r="G38" t="s">
        <v>836</v>
      </c>
    </row>
    <row r="39" spans="2:12">
      <c r="C39" s="169" t="s">
        <v>838</v>
      </c>
      <c r="D39" s="326" t="s">
        <v>826</v>
      </c>
      <c r="E39" s="170" t="s">
        <v>600</v>
      </c>
    </row>
    <row r="40" spans="2:12">
      <c r="B40" s="294">
        <v>1</v>
      </c>
      <c r="C40" s="26">
        <v>50</v>
      </c>
      <c r="D40" s="5">
        <v>8</v>
      </c>
      <c r="E40" s="167">
        <v>2</v>
      </c>
    </row>
    <row r="41" spans="2:12">
      <c r="B41" s="25">
        <v>2</v>
      </c>
      <c r="C41" s="26">
        <v>200</v>
      </c>
      <c r="D41" s="5">
        <v>8</v>
      </c>
      <c r="E41" s="167">
        <v>4</v>
      </c>
    </row>
    <row r="42" spans="2:12">
      <c r="B42" s="25">
        <v>3</v>
      </c>
      <c r="C42" s="168">
        <v>500</v>
      </c>
      <c r="D42" s="11">
        <v>12</v>
      </c>
      <c r="E42" s="324">
        <v>4</v>
      </c>
    </row>
    <row r="43" spans="2:12">
      <c r="B43" s="25">
        <v>4</v>
      </c>
      <c r="C43" s="26">
        <v>1000</v>
      </c>
      <c r="D43" s="5">
        <v>15</v>
      </c>
      <c r="E43" s="167">
        <v>8</v>
      </c>
    </row>
    <row r="44" spans="2:12">
      <c r="B44" s="295">
        <v>5</v>
      </c>
      <c r="C44" s="27">
        <v>2000</v>
      </c>
      <c r="D44" s="325">
        <v>20</v>
      </c>
      <c r="E44" s="166">
        <v>16</v>
      </c>
    </row>
    <row r="46" spans="2:12" ht="14.65" thickBot="1">
      <c r="B46" t="s">
        <v>854</v>
      </c>
      <c r="D46" t="s">
        <v>861</v>
      </c>
      <c r="G46" t="s">
        <v>857</v>
      </c>
    </row>
    <row r="47" spans="2:12">
      <c r="B47" t="s">
        <v>855</v>
      </c>
      <c r="D47" s="342" t="s">
        <v>846</v>
      </c>
      <c r="E47" s="336" t="s">
        <v>844</v>
      </c>
      <c r="F47" s="337" t="s">
        <v>845</v>
      </c>
      <c r="G47" s="348" t="s">
        <v>858</v>
      </c>
      <c r="H47" s="355" t="s">
        <v>859</v>
      </c>
      <c r="I47" s="347" t="s">
        <v>575</v>
      </c>
    </row>
    <row r="48" spans="2:12">
      <c r="B48" t="s">
        <v>856</v>
      </c>
      <c r="D48" s="343">
        <v>1</v>
      </c>
      <c r="E48" s="170"/>
      <c r="F48" s="338"/>
      <c r="G48" s="350"/>
      <c r="H48" s="240"/>
      <c r="I48" s="349"/>
    </row>
    <row r="49" spans="2:9">
      <c r="B49" s="23">
        <f>IF('Virtualized Config Checklist'!U5&lt;&gt;"Yes",IF(ISBLANK(D48),"",D48),IF(ISBLANK(D54),"",D54))</f>
        <v>1</v>
      </c>
      <c r="C49" s="258"/>
      <c r="D49" s="344">
        <v>4</v>
      </c>
      <c r="E49" s="167">
        <v>6</v>
      </c>
      <c r="F49" s="339">
        <v>15</v>
      </c>
      <c r="G49" s="350">
        <v>6</v>
      </c>
      <c r="H49" s="240">
        <v>32</v>
      </c>
      <c r="I49" s="349">
        <v>200</v>
      </c>
    </row>
    <row r="50" spans="2:9" ht="14.65" thickBot="1">
      <c r="B50" s="23">
        <f>IF('Virtualized Config Checklist1'!W1&lt;&gt;"Yes",IF(ISBLANK(D49),"",D49),IF(ISBLANK(D55),"",D55))</f>
        <v>4</v>
      </c>
      <c r="C50" s="258"/>
      <c r="D50" s="345">
        <v>8</v>
      </c>
      <c r="E50" s="340">
        <v>12</v>
      </c>
      <c r="F50" s="341">
        <v>21</v>
      </c>
      <c r="G50" s="350">
        <v>8</v>
      </c>
      <c r="H50" s="240">
        <v>36</v>
      </c>
      <c r="I50" s="354">
        <v>400</v>
      </c>
    </row>
    <row r="51" spans="2:9">
      <c r="B51" s="23">
        <f>IF('Virtualized Config Checklist1'!W1&lt;&gt;"Yes",IF(ISBLANK(D50),"",D50),IF(ISBLANK(D56),"",D56))</f>
        <v>8</v>
      </c>
    </row>
    <row r="52" spans="2:9" ht="14.65" thickBot="1">
      <c r="B52" s="23" t="str">
        <f>IF('Virtualized Config Checklist1'!W1&lt;&gt;"Yes",IF(ISBLANK(D51),"",D51),IF(ISBLANK(D57),"",D57))</f>
        <v/>
      </c>
      <c r="D52" t="s">
        <v>860</v>
      </c>
      <c r="G52" t="s">
        <v>857</v>
      </c>
    </row>
    <row r="53" spans="2:9">
      <c r="D53" s="342" t="s">
        <v>846</v>
      </c>
      <c r="E53" s="346" t="s">
        <v>844</v>
      </c>
      <c r="F53" s="347" t="s">
        <v>845</v>
      </c>
      <c r="G53" s="348" t="s">
        <v>858</v>
      </c>
      <c r="H53" s="355" t="s">
        <v>859</v>
      </c>
      <c r="I53" s="347" t="s">
        <v>575</v>
      </c>
    </row>
    <row r="54" spans="2:9">
      <c r="D54" s="343">
        <v>1</v>
      </c>
      <c r="E54" s="209"/>
      <c r="F54" s="349"/>
      <c r="G54" s="350"/>
      <c r="H54" s="240"/>
      <c r="I54" s="349"/>
    </row>
    <row r="55" spans="2:9">
      <c r="D55" s="351">
        <v>4</v>
      </c>
      <c r="E55" s="209">
        <v>2</v>
      </c>
      <c r="F55" s="349">
        <v>11</v>
      </c>
      <c r="G55" s="350">
        <v>4</v>
      </c>
      <c r="H55" s="240">
        <v>16</v>
      </c>
      <c r="I55" s="349">
        <v>200</v>
      </c>
    </row>
    <row r="56" spans="2:9">
      <c r="D56" s="343">
        <v>10</v>
      </c>
      <c r="E56" s="209">
        <v>4</v>
      </c>
      <c r="F56" s="349">
        <v>13</v>
      </c>
      <c r="G56" s="350">
        <v>8</v>
      </c>
      <c r="H56" s="240">
        <v>24</v>
      </c>
      <c r="I56" s="349">
        <v>400</v>
      </c>
    </row>
    <row r="57" spans="2:9" ht="14.65" thickBot="1">
      <c r="D57" s="352">
        <v>15</v>
      </c>
      <c r="E57" s="353">
        <v>4</v>
      </c>
      <c r="F57" s="354">
        <v>17</v>
      </c>
      <c r="G57" s="352">
        <v>8</v>
      </c>
      <c r="H57" s="356">
        <v>24</v>
      </c>
      <c r="I57" s="354">
        <v>500</v>
      </c>
    </row>
    <row r="59" spans="2:9">
      <c r="D59" t="s">
        <v>877</v>
      </c>
    </row>
    <row r="60" spans="2:9">
      <c r="D60" t="s">
        <v>60</v>
      </c>
    </row>
    <row r="61" spans="2:9">
      <c r="D61" t="s">
        <v>925</v>
      </c>
    </row>
    <row r="62" spans="2:9">
      <c r="D62" t="s">
        <v>926</v>
      </c>
    </row>
    <row r="63" spans="2:9">
      <c r="D63" t="s">
        <v>924</v>
      </c>
    </row>
  </sheetData>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AM99"/>
  <sheetViews>
    <sheetView zoomScale="92" zoomScaleNormal="92" workbookViewId="0">
      <selection activeCell="A3" sqref="A3:I3"/>
    </sheetView>
  </sheetViews>
  <sheetFormatPr defaultColWidth="8.86328125" defaultRowHeight="14.25"/>
  <cols>
    <col min="1" max="1" width="33.3984375" bestFit="1" customWidth="1"/>
    <col min="2" max="2" width="18.86328125" bestFit="1" customWidth="1"/>
    <col min="3" max="3" width="20.265625" style="460" bestFit="1" customWidth="1"/>
    <col min="4" max="4" width="20.1328125" customWidth="1"/>
    <col min="5" max="5" width="1.3984375" customWidth="1"/>
    <col min="6" max="6" width="26" style="460" bestFit="1" customWidth="1"/>
    <col min="7" max="7" width="18.86328125" style="460" bestFit="1" customWidth="1"/>
    <col min="8" max="8" width="20.3984375" style="460" bestFit="1" customWidth="1"/>
    <col min="9" max="9" width="12.73046875" bestFit="1" customWidth="1"/>
    <col min="10" max="10" width="2.73046875" customWidth="1"/>
    <col min="11" max="11" width="33.265625" customWidth="1"/>
    <col min="12" max="12" width="20.3984375" customWidth="1"/>
    <col min="13" max="13" width="25.3984375" bestFit="1" customWidth="1"/>
    <col min="14" max="14" width="15" customWidth="1"/>
    <col min="15" max="18" width="9.1328125" style="5" hidden="1" customWidth="1"/>
    <col min="19" max="19" width="25" style="5" hidden="1" customWidth="1"/>
    <col min="20" max="20" width="32.73046875" style="5" hidden="1" customWidth="1"/>
    <col min="21" max="21" width="43.86328125" style="5" hidden="1" customWidth="1"/>
    <col min="22" max="22" width="9.1328125" style="5" hidden="1" customWidth="1"/>
    <col min="23" max="32" width="9.1328125" style="479" hidden="1" customWidth="1"/>
    <col min="33" max="33" width="13.1328125" style="479" hidden="1" customWidth="1"/>
    <col min="34" max="34" width="15.86328125" style="479" hidden="1" customWidth="1"/>
    <col min="35" max="37" width="8.86328125" style="5" hidden="1" customWidth="1"/>
    <col min="38" max="39" width="8.86328125" style="5" customWidth="1"/>
    <col min="40" max="51" width="8.86328125" customWidth="1"/>
  </cols>
  <sheetData>
    <row r="1" spans="1:25" ht="23.65" thickBot="1">
      <c r="A1" s="1445" t="s">
        <v>127</v>
      </c>
      <c r="B1" s="1030"/>
      <c r="C1" s="1030"/>
      <c r="D1" s="1030"/>
      <c r="E1" s="1030"/>
      <c r="F1" s="1030"/>
      <c r="G1" s="1030"/>
      <c r="H1" s="1030"/>
      <c r="I1" s="1030"/>
      <c r="J1" s="1030"/>
      <c r="K1" s="1446"/>
      <c r="L1" s="1446"/>
      <c r="M1" s="1446"/>
      <c r="N1" s="1447"/>
      <c r="S1" s="5" t="s">
        <v>830</v>
      </c>
      <c r="T1" s="5" t="str">
        <f>'Virtualized Config Checklist1'!W1</f>
        <v>No</v>
      </c>
    </row>
    <row r="2" spans="1:25" ht="44.25" customHeight="1" thickBot="1">
      <c r="A2" s="1442" t="str">
        <f>IF(AND($S$78="Yes",$T$80="Yes"),"You have indicated your environment will be virtualized (Database Server Info tab K3, Citrix or Terminal Server Info tab H5). Therefore no information is required in this section","Please complete all blue cells where applicable")</f>
        <v>Please complete all blue cells where applicable</v>
      </c>
      <c r="B2" s="1443"/>
      <c r="C2" s="1443"/>
      <c r="D2" s="1443"/>
      <c r="E2" s="1443"/>
      <c r="F2" s="1443"/>
      <c r="G2" s="1443"/>
      <c r="H2" s="1443"/>
      <c r="I2" s="1443"/>
      <c r="J2" s="1443"/>
      <c r="K2" s="1443"/>
      <c r="L2" s="1443"/>
      <c r="M2" s="1443"/>
      <c r="N2" s="1444"/>
      <c r="S2" t="s">
        <v>133</v>
      </c>
      <c r="T2">
        <v>1</v>
      </c>
      <c r="U2" t="s">
        <v>134</v>
      </c>
    </row>
    <row r="3" spans="1:25" ht="44.25" customHeight="1" thickBot="1">
      <c r="A3" s="1442" t="s">
        <v>981</v>
      </c>
      <c r="B3" s="1452"/>
      <c r="C3" s="1452"/>
      <c r="D3" s="1452"/>
      <c r="E3" s="1452"/>
      <c r="F3" s="1452"/>
      <c r="G3" s="1452"/>
      <c r="H3" s="1452"/>
      <c r="I3" s="1453"/>
      <c r="J3" s="748"/>
      <c r="K3" s="1454" t="s">
        <v>1052</v>
      </c>
      <c r="L3" s="1455"/>
      <c r="M3" s="1455"/>
      <c r="N3" s="1456"/>
      <c r="S3"/>
      <c r="T3"/>
      <c r="U3"/>
    </row>
    <row r="4" spans="1:25" ht="54.75" customHeight="1">
      <c r="A4" s="224" t="s">
        <v>316</v>
      </c>
      <c r="B4" s="123"/>
      <c r="C4" s="1450" t="s">
        <v>841</v>
      </c>
      <c r="D4" s="1451"/>
      <c r="E4" s="5"/>
      <c r="F4" s="479"/>
      <c r="G4" s="479"/>
      <c r="H4" s="479"/>
      <c r="I4" s="479"/>
      <c r="J4" s="5"/>
      <c r="K4" s="224" t="s">
        <v>128</v>
      </c>
      <c r="L4" s="123"/>
      <c r="M4" s="26"/>
      <c r="N4" s="95"/>
      <c r="S4"/>
      <c r="T4">
        <v>9000</v>
      </c>
      <c r="U4"/>
    </row>
    <row r="5" spans="1:25" ht="14.65" thickBot="1">
      <c r="A5" s="229" t="s">
        <v>760</v>
      </c>
      <c r="B5" s="246"/>
      <c r="C5" s="234" t="s">
        <v>840</v>
      </c>
      <c r="D5" s="799">
        <f>'Clinical Info'!H9</f>
        <v>0</v>
      </c>
      <c r="E5" s="5"/>
      <c r="F5" s="479"/>
      <c r="G5" s="479"/>
      <c r="H5" s="479"/>
      <c r="I5" s="479"/>
      <c r="J5" s="5"/>
      <c r="K5" s="229" t="s">
        <v>760</v>
      </c>
      <c r="L5" s="246"/>
      <c r="M5" s="26"/>
      <c r="N5" s="95"/>
      <c r="S5"/>
      <c r="T5"/>
      <c r="U5"/>
    </row>
    <row r="6" spans="1:25" ht="14.65" thickBot="1">
      <c r="A6" s="230" t="s">
        <v>120</v>
      </c>
      <c r="B6" s="247"/>
      <c r="C6" s="800" t="s">
        <v>839</v>
      </c>
      <c r="D6" s="799">
        <f>'Clinical Info'!H8</f>
        <v>0</v>
      </c>
      <c r="E6" s="5"/>
      <c r="F6" s="479"/>
      <c r="G6" s="479"/>
      <c r="H6" s="479"/>
      <c r="I6" s="479"/>
      <c r="J6" s="5"/>
      <c r="K6" s="230" t="s">
        <v>120</v>
      </c>
      <c r="L6" s="247" t="s">
        <v>60</v>
      </c>
      <c r="M6" s="26"/>
      <c r="N6" s="95"/>
      <c r="S6"/>
      <c r="T6"/>
      <c r="U6"/>
      <c r="V6" s="235" t="s">
        <v>690</v>
      </c>
      <c r="W6" s="773" t="s">
        <v>677</v>
      </c>
      <c r="X6" s="773" t="s">
        <v>678</v>
      </c>
      <c r="Y6" s="774" t="s">
        <v>679</v>
      </c>
    </row>
    <row r="7" spans="1:25">
      <c r="A7" s="229" t="s">
        <v>131</v>
      </c>
      <c r="B7" s="247" t="s">
        <v>60</v>
      </c>
      <c r="C7" s="731"/>
      <c r="D7" s="95"/>
      <c r="E7" s="5"/>
      <c r="F7" s="479"/>
      <c r="G7" s="479"/>
      <c r="H7" s="479"/>
      <c r="I7" s="479"/>
      <c r="J7" s="5"/>
      <c r="K7" s="229" t="s">
        <v>131</v>
      </c>
      <c r="L7" s="247"/>
      <c r="M7" s="26"/>
      <c r="N7" s="95"/>
      <c r="S7" t="s">
        <v>133</v>
      </c>
      <c r="T7">
        <v>1</v>
      </c>
      <c r="U7" t="s">
        <v>135</v>
      </c>
      <c r="V7" s="237">
        <v>55</v>
      </c>
      <c r="W7" s="775">
        <v>5520</v>
      </c>
      <c r="X7" s="775">
        <v>5550</v>
      </c>
      <c r="Y7" s="776">
        <v>5590</v>
      </c>
    </row>
    <row r="8" spans="1:25">
      <c r="A8" s="229" t="s">
        <v>130</v>
      </c>
      <c r="B8" s="246" t="s">
        <v>60</v>
      </c>
      <c r="C8" s="731"/>
      <c r="D8" s="95"/>
      <c r="E8" s="5"/>
      <c r="F8" s="479"/>
      <c r="G8" s="479"/>
      <c r="H8" s="479"/>
      <c r="I8" s="479"/>
      <c r="J8" s="5"/>
      <c r="K8" s="229" t="s">
        <v>145</v>
      </c>
      <c r="L8" s="246"/>
      <c r="M8" s="26"/>
      <c r="N8" s="95"/>
      <c r="S8"/>
      <c r="T8">
        <v>2</v>
      </c>
      <c r="U8"/>
      <c r="V8" s="238">
        <v>56</v>
      </c>
      <c r="W8" s="777">
        <v>5618</v>
      </c>
      <c r="X8" s="777">
        <v>5620</v>
      </c>
      <c r="Y8" s="778">
        <v>5690</v>
      </c>
    </row>
    <row r="9" spans="1:25" ht="25.5">
      <c r="A9" s="229" t="s">
        <v>122</v>
      </c>
      <c r="B9" s="246" t="s">
        <v>60</v>
      </c>
      <c r="C9" s="731"/>
      <c r="D9" s="95"/>
      <c r="E9" s="5"/>
      <c r="F9" s="479"/>
      <c r="G9" s="479"/>
      <c r="H9" s="479"/>
      <c r="I9" s="479"/>
      <c r="J9" s="5"/>
      <c r="K9" s="791" t="s">
        <v>918</v>
      </c>
      <c r="L9" s="246"/>
      <c r="M9" s="27"/>
      <c r="N9" s="145"/>
      <c r="S9"/>
      <c r="T9">
        <v>3</v>
      </c>
      <c r="U9"/>
      <c r="V9" s="238">
        <v>65</v>
      </c>
      <c r="W9" s="777">
        <v>6510</v>
      </c>
      <c r="X9" s="777">
        <v>6510</v>
      </c>
      <c r="Y9" s="778">
        <v>6650</v>
      </c>
    </row>
    <row r="10" spans="1:25">
      <c r="A10" s="229" t="s">
        <v>123</v>
      </c>
      <c r="B10" s="246"/>
      <c r="C10" s="731"/>
      <c r="D10" s="95"/>
      <c r="E10" s="5"/>
      <c r="F10" s="479"/>
      <c r="G10" s="479"/>
      <c r="H10" s="479"/>
      <c r="I10" s="479"/>
      <c r="J10" s="5"/>
      <c r="K10" s="231"/>
      <c r="L10" s="120"/>
      <c r="M10" s="124" t="s">
        <v>1057</v>
      </c>
      <c r="N10" s="146" t="s">
        <v>41</v>
      </c>
      <c r="S10"/>
      <c r="T10">
        <v>4</v>
      </c>
      <c r="U10"/>
      <c r="V10" s="238">
        <v>75</v>
      </c>
      <c r="W10" s="777">
        <v>7520</v>
      </c>
      <c r="X10" s="777">
        <v>7520</v>
      </c>
      <c r="Y10" s="778">
        <v>7560</v>
      </c>
    </row>
    <row r="11" spans="1:25" ht="25.5">
      <c r="A11" s="791" t="s">
        <v>918</v>
      </c>
      <c r="B11" s="801"/>
      <c r="C11" s="732"/>
      <c r="D11" s="145"/>
      <c r="E11" s="5"/>
      <c r="F11" s="479"/>
      <c r="G11" s="479"/>
      <c r="H11" s="479"/>
      <c r="I11" s="479"/>
      <c r="J11" s="5"/>
      <c r="K11" s="234" t="s">
        <v>686</v>
      </c>
      <c r="L11" s="247"/>
      <c r="M11" s="236" t="str">
        <f>IF(ISBLANK(L11),"5550",IF(ISNUMBER(VALUE(LEFT(L11,1))),IF(VALUE(LEFT(L11,2))&lt;55,5520,VLOOKUP(VALUE(LEFT(L11,2)),$V$7:$Y$13,2,FALSE)),VLOOKUP(LEFT(L11,2),$V$7:$Y$13,2,FALSE)))</f>
        <v>5550</v>
      </c>
      <c r="N11" s="147" t="str">
        <f>IF('Citrix or Terminal Server Info'!$H$3="No","Not Needed",IF(L11="","&lt;--Enter Data",IF(L11&gt;=M11,"Yes",IF(N20="No","No","No*"))))</f>
        <v>&lt;--Enter Data</v>
      </c>
      <c r="S11" t="s">
        <v>133</v>
      </c>
      <c r="T11">
        <v>2</v>
      </c>
      <c r="U11" t="s">
        <v>136</v>
      </c>
      <c r="V11" s="238" t="s">
        <v>687</v>
      </c>
      <c r="W11" s="777" t="s">
        <v>680</v>
      </c>
      <c r="X11" s="777" t="s">
        <v>680</v>
      </c>
      <c r="Y11" s="778" t="s">
        <v>681</v>
      </c>
    </row>
    <row r="12" spans="1:25">
      <c r="A12" s="802"/>
      <c r="B12" s="120"/>
      <c r="C12" s="733" t="s">
        <v>1057</v>
      </c>
      <c r="D12" s="146" t="s">
        <v>41</v>
      </c>
      <c r="E12" s="5"/>
      <c r="F12" s="479"/>
      <c r="G12" s="479"/>
      <c r="H12" s="479"/>
      <c r="I12" s="479"/>
      <c r="J12" s="5"/>
      <c r="K12" s="230" t="s">
        <v>1050</v>
      </c>
      <c r="L12" s="247"/>
      <c r="M12" s="236">
        <f>'Citrix or Terminal Server Info'!F33</f>
        <v>10</v>
      </c>
      <c r="N12" s="147" t="str">
        <f>IF('Citrix or Terminal Server Info'!$H$3="No","Not Needed",IF(L12="","&lt;--Enter Data",IF(L12&gt;=M12,"Yes","No")))</f>
        <v>&lt;--Enter Data</v>
      </c>
      <c r="S12"/>
      <c r="T12">
        <v>4</v>
      </c>
      <c r="U12"/>
      <c r="V12" s="238" t="s">
        <v>688</v>
      </c>
      <c r="W12" s="777" t="s">
        <v>682</v>
      </c>
      <c r="X12" s="777" t="s">
        <v>682</v>
      </c>
      <c r="Y12" s="778" t="s">
        <v>683</v>
      </c>
    </row>
    <row r="13" spans="1:25" ht="30.75" customHeight="1" thickBot="1">
      <c r="A13" s="234" t="s">
        <v>686</v>
      </c>
      <c r="B13" s="247"/>
      <c r="C13" s="734" t="str">
        <f>IF(ISBLANK(B13),"5520",IF(ISNUMBER(VALUE(LEFT(B13,1))),IF(VALUE(LEFT(B13,2))&lt;55,5520,VLOOKUP(VALUE(LEFT(B13,2)),$V$7:$Y$13,2,FALSE)),VLOOKUP(LEFT(B13,2),$V$7:$Y$13,2,FALSE)))</f>
        <v>5520</v>
      </c>
      <c r="D13" s="280" t="str">
        <f>IF(B13="","&lt;--Enter Data",IF(B13&gt;=C13,"Yes",IF(D19="No","No","No*")))</f>
        <v>&lt;--Enter Data</v>
      </c>
      <c r="E13" s="5"/>
      <c r="F13" s="479"/>
      <c r="G13" s="479"/>
      <c r="H13" s="479"/>
      <c r="I13" s="479"/>
      <c r="J13" s="5"/>
      <c r="K13" s="230" t="s">
        <v>141</v>
      </c>
      <c r="L13" s="246" t="s">
        <v>1200</v>
      </c>
      <c r="M13" s="459" t="s">
        <v>1200</v>
      </c>
      <c r="N13" s="280" t="str">
        <f>IF('Citrix or Terminal Server Info'!$H$3="No","Not Needed",IF(L13="Select One:","&lt;--Enter Data",IF(L13="Win Svr 2016 R2 64 bit","Yes",IF(L13="Win Svr 2019 64 bit","Yes",IF(L13="Win Svr 2022 64 bit","Yes","No")))))</f>
        <v>Yes</v>
      </c>
      <c r="S13"/>
      <c r="T13">
        <v>6</v>
      </c>
      <c r="U13"/>
      <c r="V13" s="239" t="s">
        <v>689</v>
      </c>
      <c r="W13" s="779" t="s">
        <v>684</v>
      </c>
      <c r="X13" s="779" t="s">
        <v>684</v>
      </c>
      <c r="Y13" s="780" t="s">
        <v>685</v>
      </c>
    </row>
    <row r="14" spans="1:25">
      <c r="A14" s="230" t="s">
        <v>33</v>
      </c>
      <c r="B14" s="247"/>
      <c r="C14" s="459">
        <f>'Virtualized Config Checklist'!B9</f>
        <v>12</v>
      </c>
      <c r="D14" s="147" t="str">
        <f>IF(B14="","&lt;--Enter Data",IF(B14&gt;=C14,"Yes","No"))</f>
        <v>&lt;--Enter Data</v>
      </c>
      <c r="E14" s="5"/>
      <c r="F14" s="479"/>
      <c r="G14" s="479"/>
      <c r="H14" s="479"/>
      <c r="I14" s="479"/>
      <c r="J14" s="5"/>
      <c r="K14" s="230" t="s">
        <v>137</v>
      </c>
      <c r="L14" s="247"/>
      <c r="M14" s="803">
        <v>146</v>
      </c>
      <c r="N14" s="147" t="str">
        <f>IF('Citrix or Terminal Server Info'!$H$3="No","Not Needed",IF(L14="","&lt;--Enter Data",IF(L14&gt;=M14,"Yes","No")))</f>
        <v>&lt;--Enter Data</v>
      </c>
      <c r="S14"/>
      <c r="T14">
        <v>8</v>
      </c>
      <c r="U14"/>
    </row>
    <row r="15" spans="1:25" ht="57.75" customHeight="1">
      <c r="A15" s="234" t="s">
        <v>922</v>
      </c>
      <c r="B15" s="246" t="s">
        <v>1204</v>
      </c>
      <c r="C15" s="459" t="s">
        <v>1202</v>
      </c>
      <c r="D15" s="147" t="str">
        <f>IF(B15="Select One:","&lt;--Enter Data",IF(B15="Win Svr 2008 R2 SP1 64 bit","No",IF(B15="Win Svr 2012 R2 64 bit","Yes",IF(B15="Win Svr 2012 64 bit","No",IF(B15="Win Svr 2016 64 bit","Yes","No")))))</f>
        <v>Yes</v>
      </c>
      <c r="E15" s="5"/>
      <c r="F15" s="479"/>
      <c r="G15" s="479"/>
      <c r="H15" s="479"/>
      <c r="I15" s="479"/>
      <c r="J15" s="5"/>
      <c r="K15" s="230" t="s">
        <v>146</v>
      </c>
      <c r="L15" s="246" t="s">
        <v>60</v>
      </c>
      <c r="M15" s="803" t="s">
        <v>465</v>
      </c>
      <c r="N15" s="147" t="str">
        <f>IF('Citrix or Terminal Server Info'!$H$3="No","Not Needed",IF(L15="Select One:","&lt;--Enter Data",IF(L15="Raid0","No","Yes")))</f>
        <v>&lt;--Enter Data</v>
      </c>
      <c r="S15"/>
      <c r="T15">
        <v>10</v>
      </c>
      <c r="U15"/>
    </row>
    <row r="16" spans="1:25" ht="27.75" customHeight="1">
      <c r="A16" s="230" t="s">
        <v>132</v>
      </c>
      <c r="B16" s="247"/>
      <c r="C16" s="734">
        <f>'Virtualized Config Checklist'!B10</f>
        <v>0</v>
      </c>
      <c r="D16" s="147" t="str">
        <f>IF(B16="","&lt;--Enter Data",IF(B16&gt;=C16,"Yes","No"))</f>
        <v>&lt;--Enter Data</v>
      </c>
      <c r="E16" s="5"/>
      <c r="F16" s="479"/>
      <c r="G16" s="479"/>
      <c r="H16" s="479"/>
      <c r="I16" s="479"/>
      <c r="J16" s="5"/>
      <c r="K16" s="230" t="s">
        <v>125</v>
      </c>
      <c r="L16" s="801"/>
      <c r="M16" s="803"/>
      <c r="N16" s="804"/>
      <c r="S16"/>
      <c r="T16">
        <v>12</v>
      </c>
      <c r="U16"/>
    </row>
    <row r="17" spans="1:34">
      <c r="A17" s="229" t="s">
        <v>124</v>
      </c>
      <c r="B17" s="246" t="s">
        <v>60</v>
      </c>
      <c r="C17" s="459" t="s">
        <v>465</v>
      </c>
      <c r="D17" s="147" t="str">
        <f>IF(B17="Select One:","&lt;--Enter Data",IF(B17="Raid0","No","Yes"))</f>
        <v>&lt;--Enter Data</v>
      </c>
      <c r="E17" s="5"/>
      <c r="F17" s="479"/>
      <c r="G17" s="479"/>
      <c r="H17" s="479"/>
      <c r="I17" s="479"/>
      <c r="J17" s="5"/>
      <c r="K17" s="230" t="s">
        <v>282</v>
      </c>
      <c r="L17" s="247"/>
      <c r="M17" s="803">
        <f>IF(L20*'Citrix or Terminal Server Info'!H14&gt;50,50,L20*'Citrix or Terminal Server Info'!H14)</f>
        <v>0</v>
      </c>
      <c r="N17" s="147" t="str">
        <f>IF('Citrix or Terminal Server Info'!$H$3="No","Not Needed",IF(L17="","&lt;--Enter Data",IF(L17&lt;=M17,"Yes","No")))</f>
        <v>&lt;--Enter Data</v>
      </c>
      <c r="S17"/>
      <c r="T17">
        <v>14</v>
      </c>
      <c r="U17"/>
    </row>
    <row r="18" spans="1:34" ht="38.65" thickBot="1">
      <c r="A18" s="792" t="s">
        <v>125</v>
      </c>
      <c r="B18" s="247"/>
      <c r="C18" s="735"/>
      <c r="D18" s="793"/>
      <c r="E18" s="5"/>
      <c r="F18" s="479"/>
      <c r="G18" s="479"/>
      <c r="H18" s="479"/>
      <c r="I18" s="479"/>
      <c r="J18" s="5"/>
      <c r="K18" s="234" t="s">
        <v>1051</v>
      </c>
      <c r="L18" s="805"/>
      <c r="M18" s="121">
        <f>'Citrix or Terminal Server Info'!F30</f>
        <v>0</v>
      </c>
      <c r="N18" s="147" t="str">
        <f>IF('Citrix or Terminal Server Info'!$H$3="No","Not Needed",IF(L18="","&lt;--Enter Data",IF(L18&gt;=M18,"Yes","No")))</f>
        <v>&lt;--Enter Data</v>
      </c>
      <c r="S18"/>
      <c r="T18">
        <v>15</v>
      </c>
      <c r="U18"/>
    </row>
    <row r="19" spans="1:34" ht="15" thickTop="1" thickBot="1">
      <c r="A19" s="232" t="s">
        <v>144</v>
      </c>
      <c r="B19" s="148">
        <f>IF(B7="YES", (B5*B6*2), (B5*B6))</f>
        <v>0</v>
      </c>
      <c r="C19" s="736">
        <f>'Virtualized Config Checklist'!B8</f>
        <v>4</v>
      </c>
      <c r="D19" s="158" t="str">
        <f>IF(B19=0,"&lt;--Enter Data",IF(B19&gt;=C19,"Yes","No"))</f>
        <v>&lt;--Enter Data</v>
      </c>
      <c r="E19" s="5"/>
      <c r="F19" s="479"/>
      <c r="G19" s="479"/>
      <c r="H19" s="479"/>
      <c r="I19" s="479"/>
      <c r="J19" s="5"/>
      <c r="K19" s="230" t="s">
        <v>1049</v>
      </c>
      <c r="L19" s="805"/>
      <c r="M19" s="121">
        <f>'Citrix or Terminal Server Info'!F32</f>
        <v>4</v>
      </c>
      <c r="N19" s="147" t="str">
        <f>IF('Citrix or Terminal Server Info'!$H$3="No","Not Needed",IF(L19="","&lt;--Enter Data",IF(L19&gt;=M19,"Yes","No")))</f>
        <v>&lt;--Enter Data</v>
      </c>
      <c r="S19"/>
      <c r="T19">
        <v>16</v>
      </c>
      <c r="U19"/>
    </row>
    <row r="20" spans="1:34" s="5" customFormat="1" ht="26.25" thickTop="1" thickBot="1">
      <c r="A20" s="94"/>
      <c r="C20" s="479"/>
      <c r="F20" s="479"/>
      <c r="G20" s="479"/>
      <c r="H20" s="479"/>
      <c r="K20" s="747" t="s">
        <v>1048</v>
      </c>
      <c r="L20" s="148"/>
      <c r="M20" s="149">
        <f>'Citrix or Terminal Server Info'!H16</f>
        <v>0</v>
      </c>
      <c r="N20" s="158" t="str">
        <f>IF('Citrix or Terminal Server Info'!$H$3="No","Not Needed",IF(L20=0,"&lt;--Enter Data",IF(L20&gt;=M20,"Yes","No")))</f>
        <v>&lt;--Enter Data</v>
      </c>
      <c r="S20"/>
      <c r="T20">
        <v>18</v>
      </c>
      <c r="U20"/>
      <c r="W20" s="479"/>
      <c r="X20" s="479"/>
      <c r="Y20" s="479"/>
      <c r="Z20" s="479"/>
      <c r="AA20" s="479"/>
      <c r="AB20" s="479"/>
      <c r="AC20" s="479"/>
      <c r="AD20" s="479"/>
      <c r="AE20" s="479"/>
      <c r="AF20" s="479"/>
      <c r="AG20" s="479"/>
      <c r="AH20" s="479"/>
    </row>
    <row r="21" spans="1:34" s="5" customFormat="1" ht="30.75" thickBot="1">
      <c r="A21" s="788" t="str">
        <f>IF(I58="Yes","Jboss / GUI Application Server","Jboss / GUI Application Server")</f>
        <v>Jboss / GUI Application Server</v>
      </c>
      <c r="B21" s="788"/>
      <c r="C21" s="289"/>
      <c r="D21" s="144"/>
      <c r="F21" s="225" t="s">
        <v>126</v>
      </c>
      <c r="G21" s="150" t="s">
        <v>1057</v>
      </c>
      <c r="H21" s="150" t="s">
        <v>31</v>
      </c>
      <c r="I21" s="151" t="s">
        <v>41</v>
      </c>
      <c r="N21" s="95"/>
      <c r="W21" s="479"/>
      <c r="X21" s="479"/>
      <c r="Y21" s="479"/>
      <c r="Z21" s="479"/>
      <c r="AA21" s="479"/>
      <c r="AB21" s="479"/>
      <c r="AC21" s="479"/>
      <c r="AD21" s="479"/>
      <c r="AE21" s="479"/>
      <c r="AF21" s="479"/>
      <c r="AG21" s="479"/>
      <c r="AH21" s="479"/>
    </row>
    <row r="22" spans="1:34" s="5" customFormat="1" ht="14.65" thickBot="1">
      <c r="A22" s="229" t="s">
        <v>760</v>
      </c>
      <c r="B22" s="246"/>
      <c r="C22" s="731"/>
      <c r="D22" s="95"/>
      <c r="F22" s="794" t="s">
        <v>35</v>
      </c>
      <c r="G22" s="806">
        <f>'Database Server Info'!$E$29</f>
        <v>0</v>
      </c>
      <c r="H22" s="807"/>
      <c r="I22" s="795"/>
      <c r="K22" s="18"/>
      <c r="N22" s="95"/>
      <c r="W22" s="479"/>
      <c r="X22" s="479"/>
      <c r="Y22" s="479"/>
      <c r="Z22" s="479"/>
      <c r="AA22" s="479"/>
      <c r="AB22" s="479"/>
      <c r="AC22" s="479"/>
      <c r="AD22" s="479"/>
      <c r="AE22" s="479"/>
      <c r="AF22" s="479"/>
      <c r="AG22" s="479"/>
      <c r="AH22" s="479"/>
    </row>
    <row r="23" spans="1:34" s="5" customFormat="1" ht="14.65" thickBot="1">
      <c r="A23" s="230" t="s">
        <v>120</v>
      </c>
      <c r="B23" s="247"/>
      <c r="C23" s="731"/>
      <c r="D23" s="95"/>
      <c r="F23" s="753" t="s">
        <v>36</v>
      </c>
      <c r="G23" s="754">
        <f>'Database Server Info'!$F$29</f>
        <v>0</v>
      </c>
      <c r="H23" s="755" t="str">
        <f>IF(OR('Database Server Info'!$P$84="N/A",'Database Server Info'!$P$112="N/A"),"",SUM('Database Server Info'!$P$84,'Database Server Info'!$P$112))</f>
        <v/>
      </c>
      <c r="I23" s="157" t="str">
        <f>IF(H23="","&lt;--Enter Data",IF(H23&gt;=G23+G22,"Yes","No"))</f>
        <v>&lt;--Enter Data</v>
      </c>
      <c r="K23" s="18" t="s">
        <v>761</v>
      </c>
      <c r="N23" s="95"/>
      <c r="W23" s="479"/>
      <c r="X23" s="479"/>
      <c r="Y23" s="479"/>
      <c r="Z23" s="479"/>
      <c r="AA23" s="479"/>
      <c r="AB23" s="479"/>
      <c r="AC23" s="479"/>
      <c r="AD23" s="479"/>
      <c r="AE23" s="479"/>
      <c r="AF23" s="479"/>
      <c r="AG23" s="479"/>
      <c r="AH23" s="479"/>
    </row>
    <row r="24" spans="1:34" s="5" customFormat="1" ht="14.65" thickBot="1">
      <c r="A24" s="229" t="s">
        <v>131</v>
      </c>
      <c r="B24" s="247" t="s">
        <v>60</v>
      </c>
      <c r="C24" s="732"/>
      <c r="D24" s="145"/>
      <c r="F24" s="479"/>
      <c r="G24" s="479"/>
      <c r="H24" s="479"/>
      <c r="K24" s="18" t="s">
        <v>495</v>
      </c>
      <c r="N24" s="95"/>
      <c r="S24" t="s">
        <v>133</v>
      </c>
      <c r="T24">
        <v>1</v>
      </c>
      <c r="U24" t="s">
        <v>138</v>
      </c>
      <c r="W24" s="479"/>
      <c r="X24" s="479"/>
      <c r="Y24" s="479"/>
      <c r="Z24" s="479"/>
      <c r="AA24" s="479"/>
      <c r="AB24" s="479"/>
      <c r="AC24" s="479"/>
      <c r="AD24" s="479"/>
      <c r="AE24" s="479"/>
      <c r="AF24" s="479"/>
      <c r="AG24" s="479"/>
      <c r="AH24" s="479"/>
    </row>
    <row r="25" spans="1:34" s="5" customFormat="1" ht="17.25" thickBot="1">
      <c r="A25" s="231"/>
      <c r="B25" s="120"/>
      <c r="C25" s="788" t="s">
        <v>1057</v>
      </c>
      <c r="D25" s="788" t="s">
        <v>41</v>
      </c>
      <c r="F25" s="479"/>
      <c r="G25" s="479"/>
      <c r="H25" s="479"/>
      <c r="N25" s="95"/>
      <c r="S25" t="s">
        <v>142</v>
      </c>
      <c r="T25" t="s">
        <v>60</v>
      </c>
      <c r="U25" t="s">
        <v>143</v>
      </c>
      <c r="W25" s="479"/>
      <c r="X25" s="479"/>
      <c r="Y25" s="479"/>
      <c r="Z25" s="479"/>
      <c r="AA25" s="479"/>
      <c r="AB25" s="479"/>
      <c r="AC25" s="479"/>
      <c r="AD25" s="479"/>
      <c r="AE25" s="479"/>
      <c r="AF25" s="479"/>
      <c r="AG25" s="479"/>
      <c r="AH25" s="479"/>
    </row>
    <row r="26" spans="1:34" s="5" customFormat="1" ht="28.9" thickBot="1">
      <c r="A26" s="230" t="s">
        <v>121</v>
      </c>
      <c r="B26" s="247"/>
      <c r="C26" s="734" t="str">
        <f>IF(ISBLANK(B26),"5520",IF(ISNUMBER(VALUE(LEFT(B26,1))),IF(VALUE(LEFT(B26,2))&lt;55,5520,VLOOKUP(VALUE(LEFT(B26,2)),$V$7:$Y$13,2,FALSE)),VLOOKUP(LEFT(B26,2),$V$7:$Y$13,2,FALSE)))</f>
        <v>5520</v>
      </c>
      <c r="D26" s="280" t="str">
        <f>IF(B26="","&lt;--Enter Data",IF(B26&gt;=C26,"Yes",IF(D32="No","No","No*")))</f>
        <v>&lt;--Enter Data</v>
      </c>
      <c r="F26" s="662" t="s">
        <v>1043</v>
      </c>
      <c r="G26" s="1457" t="str">
        <f>IF(OR('Clinical Info'!H6="CPS (EMR only)",'Clinical Info'!H6="CPS (PM+EMR)"),'Virtualized Config Checklist'!U35,IF('Clinical Info'!H6="CPS (PM Only)","No Additional GUI server Needed",""))</f>
        <v/>
      </c>
      <c r="H26" s="1458"/>
      <c r="N26" s="95"/>
      <c r="S26"/>
      <c r="T26" t="s">
        <v>1204</v>
      </c>
      <c r="U26"/>
      <c r="W26" s="479"/>
      <c r="X26" s="479"/>
      <c r="Y26" s="479"/>
      <c r="Z26" s="479"/>
      <c r="AA26" s="479"/>
      <c r="AB26" s="479"/>
      <c r="AC26" s="479"/>
      <c r="AD26" s="479"/>
      <c r="AE26" s="479"/>
      <c r="AF26" s="479"/>
      <c r="AG26" s="479"/>
      <c r="AH26" s="479"/>
    </row>
    <row r="27" spans="1:34" s="5" customFormat="1" ht="14.65" thickBot="1">
      <c r="A27" s="230" t="s">
        <v>33</v>
      </c>
      <c r="B27" s="247"/>
      <c r="C27" s="737">
        <f>'Virtualized Config Checklist'!G9</f>
        <v>12</v>
      </c>
      <c r="D27" s="147" t="str">
        <f>IF(B27="","&lt;--Enter Data",IF(B27&gt;=C27,"Yes","No"))</f>
        <v>&lt;--Enter Data</v>
      </c>
      <c r="F27" s="756"/>
      <c r="G27" s="757"/>
      <c r="H27" s="479"/>
      <c r="N27" s="95"/>
      <c r="S27"/>
      <c r="T27" t="s">
        <v>1199</v>
      </c>
      <c r="U27"/>
      <c r="W27" s="479"/>
      <c r="X27" s="479"/>
      <c r="Y27" s="479"/>
      <c r="Z27" s="479"/>
      <c r="AA27" s="479"/>
      <c r="AB27" s="479"/>
      <c r="AC27" s="479"/>
      <c r="AD27" s="479"/>
      <c r="AE27" s="479"/>
      <c r="AF27" s="479"/>
      <c r="AG27" s="479"/>
      <c r="AH27" s="479"/>
    </row>
    <row r="28" spans="1:34" s="5" customFormat="1" ht="39" customHeight="1">
      <c r="A28" s="234" t="s">
        <v>922</v>
      </c>
      <c r="B28" s="246" t="s">
        <v>1204</v>
      </c>
      <c r="C28" s="459" t="s">
        <v>1203</v>
      </c>
      <c r="D28" s="147" t="str">
        <f>IF(B28="Select One:","&lt;--Enter Data",IF(B28="Win Svr 2008 R2 SP1 64 bit","No",IF(B28="Win Svr 2012 R2 64 bit","Yes",IF(B28="Win Svr 2012 64 bit","No",IF(B28="Win Svr 2016 64 bit","Yes","No")))))</f>
        <v>Yes</v>
      </c>
      <c r="F28" s="1426" t="str">
        <f>IF(D5&gt;100,"We require separate GUI and Interop servers for optimal performance if concurrent users &gt;100."," " )</f>
        <v xml:space="preserve"> </v>
      </c>
      <c r="G28" s="1427"/>
      <c r="H28" s="1427"/>
      <c r="I28" s="1428"/>
      <c r="N28" s="95"/>
      <c r="S28"/>
      <c r="T28" t="s">
        <v>1200</v>
      </c>
      <c r="U28"/>
      <c r="W28" s="479"/>
      <c r="X28" s="479"/>
      <c r="Y28" s="479"/>
      <c r="Z28" s="479"/>
      <c r="AA28" s="479"/>
      <c r="AB28" s="479"/>
      <c r="AC28" s="479"/>
      <c r="AD28" s="479"/>
      <c r="AE28" s="479"/>
      <c r="AF28" s="479"/>
      <c r="AG28" s="479"/>
      <c r="AH28" s="479"/>
    </row>
    <row r="29" spans="1:34" s="5" customFormat="1">
      <c r="A29" s="328" t="s">
        <v>137</v>
      </c>
      <c r="B29" s="329"/>
      <c r="C29" s="808">
        <f>'Virtualized Config Checklist1'!B13</f>
        <v>122.25</v>
      </c>
      <c r="D29" s="796" t="str">
        <f>IF(B29="","&lt;--Enter Data",IF(B29&gt;=C29,"Yes","No"))</f>
        <v>&lt;--Enter Data</v>
      </c>
      <c r="F29" s="1429"/>
      <c r="G29" s="1430"/>
      <c r="H29" s="1430"/>
      <c r="I29" s="1431"/>
      <c r="N29" s="95"/>
      <c r="S29"/>
      <c r="U29"/>
      <c r="W29" s="479"/>
      <c r="X29" s="479"/>
      <c r="Y29" s="479"/>
      <c r="Z29" s="479"/>
      <c r="AA29" s="479"/>
      <c r="AB29" s="479"/>
      <c r="AC29" s="479"/>
      <c r="AD29" s="479"/>
      <c r="AE29" s="479"/>
      <c r="AF29" s="479"/>
      <c r="AG29" s="479"/>
      <c r="AH29" s="479"/>
    </row>
    <row r="30" spans="1:34" s="5" customFormat="1" ht="14.65" thickBot="1">
      <c r="A30" s="229" t="s">
        <v>146</v>
      </c>
      <c r="B30" s="246"/>
      <c r="C30" s="459" t="s">
        <v>465</v>
      </c>
      <c r="D30" s="147" t="str">
        <f>IF(B30="Select One:","&lt;--Enter Data",IF(B30="Raid0","No","Yes"))</f>
        <v>Yes</v>
      </c>
      <c r="F30" s="1432"/>
      <c r="G30" s="1433"/>
      <c r="H30" s="1433"/>
      <c r="I30" s="1434"/>
      <c r="N30" s="95"/>
      <c r="S30"/>
      <c r="U30"/>
      <c r="W30" s="479"/>
      <c r="X30" s="479"/>
      <c r="Y30" s="479"/>
      <c r="Z30" s="479"/>
      <c r="AA30" s="479"/>
      <c r="AB30" s="479"/>
      <c r="AC30" s="479"/>
      <c r="AD30" s="479"/>
      <c r="AE30" s="479"/>
      <c r="AF30" s="479"/>
      <c r="AG30" s="479"/>
      <c r="AH30" s="479"/>
    </row>
    <row r="31" spans="1:34" s="5" customFormat="1" ht="14.65" thickBot="1">
      <c r="A31" s="792" t="s">
        <v>125</v>
      </c>
      <c r="B31" s="247"/>
      <c r="C31" s="735"/>
      <c r="D31" s="793"/>
      <c r="F31" s="479"/>
      <c r="G31" s="479"/>
      <c r="H31" s="479"/>
      <c r="N31" s="95"/>
      <c r="S31"/>
      <c r="U31"/>
      <c r="W31" s="479"/>
      <c r="X31" s="479"/>
      <c r="Y31" s="479"/>
      <c r="Z31" s="479"/>
      <c r="AA31" s="479"/>
      <c r="AB31" s="479"/>
      <c r="AC31" s="479"/>
      <c r="AD31" s="479"/>
      <c r="AE31" s="479"/>
      <c r="AF31" s="479"/>
      <c r="AG31" s="479"/>
      <c r="AH31" s="479"/>
    </row>
    <row r="32" spans="1:34" s="5" customFormat="1" ht="31.5" customHeight="1" thickBot="1">
      <c r="A32" s="330" t="s">
        <v>144</v>
      </c>
      <c r="B32" s="332">
        <f>IF(B24="YES", (B22*B23*2), (B22*B23))</f>
        <v>0</v>
      </c>
      <c r="C32" s="738">
        <f>'Virtualized Config Checklist'!G8</f>
        <v>4</v>
      </c>
      <c r="D32" s="227" t="str">
        <f>IF(B32=0,"&lt;--Enter Data",IF(B32&gt;=C32,"Yes","No"))</f>
        <v>&lt;--Enter Data</v>
      </c>
      <c r="F32" s="1426" t="str">
        <f>IF(D5&gt;200,"We require multiple load-balanced GUI Servers if concurrent users &gt;200.
1 GUI server is required for every 200 concurrent users"," " )</f>
        <v xml:space="preserve"> </v>
      </c>
      <c r="G32" s="1427"/>
      <c r="H32" s="1427"/>
      <c r="I32" s="1428"/>
      <c r="N32" s="95"/>
      <c r="W32" s="479"/>
      <c r="X32" s="479"/>
      <c r="Y32" s="479"/>
      <c r="Z32" s="479"/>
      <c r="AA32" s="479"/>
      <c r="AB32" s="479"/>
      <c r="AC32" s="479"/>
      <c r="AD32" s="479"/>
      <c r="AE32" s="479"/>
      <c r="AF32" s="479"/>
      <c r="AG32" s="479"/>
      <c r="AH32" s="479"/>
    </row>
    <row r="33" spans="1:34" s="5" customFormat="1" ht="19.5" customHeight="1" thickBot="1">
      <c r="A33" s="283" t="str">
        <f>IF(I59="Yes","# Jboss / UI App Servers Needed","")</f>
        <v/>
      </c>
      <c r="B33" s="331" t="str">
        <f>'Virtualized Config Checklist'!B12:D12</f>
        <v/>
      </c>
      <c r="C33" s="739">
        <v>1</v>
      </c>
      <c r="D33" s="766"/>
      <c r="E33" s="766"/>
      <c r="F33" s="1432"/>
      <c r="G33" s="1433"/>
      <c r="H33" s="1433"/>
      <c r="I33" s="1434"/>
      <c r="N33" s="95"/>
      <c r="W33" s="1418" t="s">
        <v>1009</v>
      </c>
      <c r="X33" s="1419"/>
      <c r="Y33" s="1419"/>
      <c r="Z33" s="1419"/>
      <c r="AA33" s="1419"/>
      <c r="AB33" s="1420"/>
      <c r="AC33" s="1421" t="s">
        <v>1008</v>
      </c>
      <c r="AD33" s="1421"/>
      <c r="AE33" s="1421"/>
      <c r="AF33" s="1421"/>
      <c r="AG33" s="1421"/>
      <c r="AH33" s="1422"/>
    </row>
    <row r="34" spans="1:34" s="5" customFormat="1" ht="48.75" customHeight="1" thickBot="1">
      <c r="A34" s="788" t="s">
        <v>1018</v>
      </c>
      <c r="B34" s="661" t="s">
        <v>31</v>
      </c>
      <c r="C34" s="661" t="s">
        <v>1057</v>
      </c>
      <c r="D34" s="661" t="s">
        <v>41</v>
      </c>
      <c r="E34" s="766"/>
      <c r="F34" s="661" t="s">
        <v>976</v>
      </c>
      <c r="G34" s="661" t="s">
        <v>31</v>
      </c>
      <c r="H34" s="661" t="s">
        <v>1057</v>
      </c>
      <c r="I34" s="661" t="s">
        <v>41</v>
      </c>
      <c r="N34" s="95"/>
      <c r="S34" s="5" t="s">
        <v>314</v>
      </c>
      <c r="U34" s="5" t="s">
        <v>315</v>
      </c>
      <c r="V34"/>
      <c r="W34" s="696" t="s">
        <v>1010</v>
      </c>
      <c r="X34" s="696" t="s">
        <v>1011</v>
      </c>
      <c r="Y34" s="696" t="s">
        <v>1012</v>
      </c>
      <c r="Z34" s="696" t="s">
        <v>1013</v>
      </c>
      <c r="AA34" s="697" t="s">
        <v>1014</v>
      </c>
      <c r="AB34" s="697" t="s">
        <v>1015</v>
      </c>
      <c r="AC34" s="698" t="s">
        <v>1010</v>
      </c>
      <c r="AD34" s="698" t="s">
        <v>1011</v>
      </c>
      <c r="AE34" s="698" t="s">
        <v>1012</v>
      </c>
      <c r="AF34" s="698" t="s">
        <v>1013</v>
      </c>
      <c r="AG34" s="698" t="s">
        <v>1014</v>
      </c>
      <c r="AH34" s="698" t="s">
        <v>1015</v>
      </c>
    </row>
    <row r="35" spans="1:34" s="5" customFormat="1" ht="42.75" hidden="1" customHeight="1" thickBot="1">
      <c r="A35" s="284" t="str">
        <f>'Virtualized Config Checklist1'!A30</f>
        <v>Total number of concurrent users supported on Application server</v>
      </c>
      <c r="B35" s="809">
        <f>'Virtualized Config Checklist1'!B30</f>
        <v>0</v>
      </c>
      <c r="C35" s="810"/>
      <c r="D35" s="769">
        <f>'Virtualized Config Checklist1'!D30:I30</f>
        <v>0</v>
      </c>
      <c r="E35" s="765"/>
      <c r="F35" s="646" t="s">
        <v>32</v>
      </c>
      <c r="I35" s="95"/>
      <c r="K35" s="5" t="str">
        <f>IF(T1&lt;&gt;"Yes",IF(D5&gt;500,IF(I59="Yes","","Warning: It is strongly recommended that you load balance the Jboss UI Servers to improve performance."),""),"")</f>
        <v/>
      </c>
      <c r="N35" s="95"/>
      <c r="V35"/>
      <c r="W35" s="697" t="s">
        <v>1010</v>
      </c>
      <c r="X35" s="697" t="s">
        <v>1011</v>
      </c>
      <c r="Y35" s="697" t="s">
        <v>1012</v>
      </c>
      <c r="Z35" s="697" t="s">
        <v>1013</v>
      </c>
      <c r="AA35" s="697" t="s">
        <v>1014</v>
      </c>
      <c r="AB35" s="697" t="s">
        <v>1015</v>
      </c>
      <c r="AC35" s="781" t="s">
        <v>1010</v>
      </c>
      <c r="AD35" s="781" t="s">
        <v>1011</v>
      </c>
      <c r="AE35" s="781" t="s">
        <v>1012</v>
      </c>
      <c r="AF35" s="781" t="s">
        <v>1013</v>
      </c>
      <c r="AG35" s="781" t="s">
        <v>1014</v>
      </c>
      <c r="AH35" s="781" t="s">
        <v>1015</v>
      </c>
    </row>
    <row r="36" spans="1:34" s="5" customFormat="1" ht="45.75" customHeight="1" thickBot="1">
      <c r="A36" s="234" t="s">
        <v>32</v>
      </c>
      <c r="B36" s="229"/>
      <c r="C36" s="735" t="str">
        <f>IF(OR('Clinical Info'!H6="CPS (EMR only)",'Clinical Info'!H6="CPS (PM+EMR)"),'Virtualized Config Checklist'!U33,IF('Clinical Info'!H6="CPS (PM Only)",'Virtualized Config Checklist'!AA33,""))</f>
        <v/>
      </c>
      <c r="D36" s="767" t="str">
        <f>IF(B36="","&lt;--Enter Data",IF(B36&gt;=B37,"Yes","No"))</f>
        <v>&lt;--Enter Data</v>
      </c>
      <c r="E36" s="729"/>
      <c r="F36" s="646" t="s">
        <v>32</v>
      </c>
      <c r="G36" s="229"/>
      <c r="H36" s="735" t="str">
        <f>'Virtualized Config Checklist'!B20</f>
        <v/>
      </c>
      <c r="I36" s="767" t="str">
        <f>IF(G36="","&lt;--Enter Data",IF(G36&gt;=G37,"Yes","No"))</f>
        <v>&lt;--Enter Data</v>
      </c>
      <c r="N36" s="95"/>
      <c r="V36">
        <v>1</v>
      </c>
      <c r="W36" s="697">
        <f>'Virtualized Config Checklist'!AK41</f>
        <v>6</v>
      </c>
      <c r="X36" s="697">
        <f>'Virtualized Config Checklist'!AL41</f>
        <v>0</v>
      </c>
      <c r="Y36" s="697">
        <f>'Virtualized Config Checklist'!AM41</f>
        <v>6</v>
      </c>
      <c r="Z36" s="697">
        <f>'Virtualized Config Checklist'!AN41</f>
        <v>18</v>
      </c>
      <c r="AA36" s="697" t="str">
        <f>'Virtualized Config Checklist'!AO41</f>
        <v>Not Recommended</v>
      </c>
      <c r="AB36" s="697" t="str">
        <f>'Virtualized Config Checklist'!AP41</f>
        <v>Not Recommended</v>
      </c>
      <c r="AC36" s="781">
        <f>'Virtualized Config Checklist'!AQ41</f>
        <v>6</v>
      </c>
      <c r="AD36" s="781">
        <f>'Virtualized Config Checklist'!AR41</f>
        <v>16</v>
      </c>
      <c r="AE36" s="781">
        <f>'Virtualized Config Checklist'!AS41</f>
        <v>4</v>
      </c>
      <c r="AF36" s="781">
        <f>'Virtualized Config Checklist'!AT41</f>
        <v>12</v>
      </c>
      <c r="AG36" s="781" t="str">
        <f>'Virtualized Config Checklist'!AU41</f>
        <v>Separate Interop Server Not Recommended</v>
      </c>
      <c r="AH36" s="781" t="str">
        <f>'Virtualized Config Checklist'!AV41</f>
        <v>Separate Interop Server Not Recommended</v>
      </c>
    </row>
    <row r="37" spans="1:34" s="5" customFormat="1" ht="43.15" thickBot="1">
      <c r="A37" s="234" t="s">
        <v>33</v>
      </c>
      <c r="B37" s="229"/>
      <c r="C37" s="735" t="str">
        <f>IF(OR('Clinical Info'!H6="CPS (EMR only)",'Clinical Info'!H6="CPS (PM+EMR)"),'Virtualized Config Checklist'!U34,IF('Clinical Info'!H6="CPS (PM Only)",'Virtualized Config Checklist'!AA34,""))</f>
        <v/>
      </c>
      <c r="D37" s="767" t="str">
        <f t="shared" ref="D37:D38" si="0">IF(B37="","&lt;--Enter Data",IF(B37&gt;=B38,"Yes","No"))</f>
        <v>&lt;--Enter Data</v>
      </c>
      <c r="E37" s="729"/>
      <c r="F37" s="646" t="s">
        <v>33</v>
      </c>
      <c r="G37" s="229"/>
      <c r="H37" s="735" t="str">
        <f>'Virtualized Config Checklist'!B21</f>
        <v/>
      </c>
      <c r="I37" s="767" t="str">
        <f t="shared" ref="I37:I38" si="1">IF(G37="","&lt;--Enter Data",IF(G37&gt;=G38,"Yes","No"))</f>
        <v>&lt;--Enter Data</v>
      </c>
      <c r="N37" s="95"/>
      <c r="V37">
        <v>4</v>
      </c>
      <c r="W37" s="697">
        <f>'Virtualized Config Checklist'!AK42</f>
        <v>6</v>
      </c>
      <c r="X37" s="697">
        <f>'Virtualized Config Checklist'!AL42</f>
        <v>0</v>
      </c>
      <c r="Y37" s="697">
        <f>'Virtualized Config Checklist'!AM42</f>
        <v>6</v>
      </c>
      <c r="Z37" s="697">
        <f>'Virtualized Config Checklist'!AN42</f>
        <v>18</v>
      </c>
      <c r="AA37" s="697" t="str">
        <f>'Virtualized Config Checklist'!AO42</f>
        <v>Not Recommended</v>
      </c>
      <c r="AB37" s="697" t="str">
        <f>'Virtualized Config Checklist'!AP42</f>
        <v>Not Recommended</v>
      </c>
      <c r="AC37" s="781">
        <f>'Virtualized Config Checklist'!AQ42</f>
        <v>6</v>
      </c>
      <c r="AD37" s="781">
        <f>'Virtualized Config Checklist'!AR42</f>
        <v>0</v>
      </c>
      <c r="AE37" s="781">
        <f>'Virtualized Config Checklist'!AS42</f>
        <v>4</v>
      </c>
      <c r="AF37" s="781">
        <f>'Virtualized Config Checklist'!AT42</f>
        <v>18</v>
      </c>
      <c r="AG37" s="781">
        <f>'Virtualized Config Checklist'!AU42</f>
        <v>4</v>
      </c>
      <c r="AH37" s="781">
        <f>'Virtualized Config Checklist'!AV42</f>
        <v>20</v>
      </c>
    </row>
    <row r="38" spans="1:34" s="5" customFormat="1" ht="45.75" customHeight="1" thickBot="1">
      <c r="A38" s="770" t="s">
        <v>34</v>
      </c>
      <c r="B38" s="771"/>
      <c r="C38" s="811">
        <f>'Virtualized Config Checklist'!B17</f>
        <v>63</v>
      </c>
      <c r="D38" s="772" t="str">
        <f t="shared" si="0"/>
        <v>&lt;--Enter Data</v>
      </c>
      <c r="E38" s="729"/>
      <c r="F38" s="646" t="s">
        <v>34</v>
      </c>
      <c r="G38" s="771"/>
      <c r="H38" s="811">
        <f>C38</f>
        <v>63</v>
      </c>
      <c r="I38" s="772" t="str">
        <f t="shared" si="1"/>
        <v>&lt;--Enter Data</v>
      </c>
      <c r="N38" s="95"/>
      <c r="V38">
        <v>8</v>
      </c>
      <c r="W38" s="697"/>
      <c r="X38" s="697"/>
      <c r="Y38" s="697"/>
      <c r="Z38" s="697"/>
      <c r="AA38" s="697"/>
      <c r="AB38" s="697"/>
      <c r="AC38" s="781">
        <f>'Virtualized Config Checklist'!AQ43</f>
        <v>8</v>
      </c>
      <c r="AD38" s="781">
        <f>'Virtualized Config Checklist'!AR43</f>
        <v>0</v>
      </c>
      <c r="AE38" s="781">
        <f>'Virtualized Config Checklist'!AS43</f>
        <v>4</v>
      </c>
      <c r="AF38" s="781">
        <f>'Virtualized Config Checklist'!AT43</f>
        <v>24</v>
      </c>
      <c r="AG38" s="781">
        <f>'Virtualized Config Checklist'!AU43</f>
        <v>4</v>
      </c>
      <c r="AH38" s="781">
        <f>'Virtualized Config Checklist'!AV43</f>
        <v>26</v>
      </c>
    </row>
    <row r="39" spans="1:34" s="5" customFormat="1" ht="42.75" customHeight="1" thickBot="1">
      <c r="A39" s="797"/>
      <c r="B39" s="768"/>
      <c r="C39" s="768"/>
      <c r="D39" s="768"/>
      <c r="E39" s="768"/>
      <c r="F39" s="768"/>
      <c r="G39" s="768"/>
      <c r="H39" s="768"/>
      <c r="I39" s="768"/>
      <c r="J39" s="768"/>
      <c r="N39" s="95"/>
      <c r="V39">
        <v>10</v>
      </c>
      <c r="W39" s="697">
        <f>'Virtualized Config Checklist'!AK44</f>
        <v>6</v>
      </c>
      <c r="X39" s="697">
        <f>'Virtualized Config Checklist'!AL44</f>
        <v>0</v>
      </c>
      <c r="Y39" s="697">
        <f>'Virtualized Config Checklist'!AM44</f>
        <v>4</v>
      </c>
      <c r="Z39" s="697">
        <f>'Virtualized Config Checklist'!AN44</f>
        <v>21</v>
      </c>
      <c r="AA39" s="697" t="str">
        <f>'Virtualized Config Checklist'!AO44</f>
        <v>Not Recommended</v>
      </c>
      <c r="AB39" s="697" t="str">
        <f>'Virtualized Config Checklist'!AP44</f>
        <v>Not Recommended</v>
      </c>
      <c r="AC39" s="781"/>
      <c r="AD39" s="781"/>
      <c r="AE39" s="781"/>
      <c r="AF39" s="781"/>
      <c r="AG39" s="781"/>
      <c r="AH39" s="781"/>
    </row>
    <row r="40" spans="1:34" s="5" customFormat="1" ht="42.75" customHeight="1" thickBot="1">
      <c r="A40" s="1282" t="s">
        <v>982</v>
      </c>
      <c r="B40" s="1283"/>
      <c r="C40" s="1283"/>
      <c r="D40" s="1283"/>
      <c r="E40" s="1283"/>
      <c r="F40" s="1283"/>
      <c r="G40" s="1283"/>
      <c r="H40" s="1283"/>
      <c r="I40" s="1284"/>
      <c r="J40" s="768"/>
      <c r="N40" s="95"/>
      <c r="V40">
        <v>15</v>
      </c>
      <c r="W40" s="697">
        <f>'Virtualized Config Checklist'!AK45</f>
        <v>6</v>
      </c>
      <c r="X40" s="697">
        <f>'Virtualized Config Checklist'!AL45</f>
        <v>0</v>
      </c>
      <c r="Y40" s="697">
        <f>'Virtualized Config Checklist'!AM45</f>
        <v>4</v>
      </c>
      <c r="Z40" s="697">
        <f>'Virtualized Config Checklist'!AN45</f>
        <v>30</v>
      </c>
      <c r="AA40" s="697" t="str">
        <f>'Virtualized Config Checklist'!AO45</f>
        <v>Not Recommended</v>
      </c>
      <c r="AB40" s="697" t="str">
        <f>'Virtualized Config Checklist'!AP45</f>
        <v>Not Recommended</v>
      </c>
      <c r="AC40" s="781"/>
      <c r="AD40" s="781"/>
      <c r="AE40" s="781"/>
      <c r="AF40" s="781"/>
      <c r="AG40" s="781"/>
      <c r="AH40" s="781"/>
    </row>
    <row r="41" spans="1:34" s="5" customFormat="1" ht="54.75" customHeight="1" thickBot="1">
      <c r="A41" s="283" t="s">
        <v>1024</v>
      </c>
      <c r="B41" s="812">
        <v>15</v>
      </c>
      <c r="C41" s="1423" t="s">
        <v>1025</v>
      </c>
      <c r="D41" s="1424"/>
      <c r="E41" s="1424"/>
      <c r="F41" s="1424"/>
      <c r="G41" s="1424"/>
      <c r="H41" s="1424"/>
      <c r="I41" s="1425"/>
      <c r="J41" s="768"/>
      <c r="N41" s="95"/>
      <c r="W41" s="479"/>
      <c r="X41" s="479"/>
      <c r="Y41" s="479"/>
      <c r="Z41" s="479"/>
      <c r="AA41" s="479"/>
      <c r="AB41" s="479"/>
      <c r="AC41" s="479"/>
      <c r="AD41" s="479"/>
      <c r="AE41" s="479"/>
      <c r="AF41" s="479"/>
      <c r="AG41" s="479"/>
      <c r="AH41" s="479"/>
    </row>
    <row r="42" spans="1:34" s="5" customFormat="1" ht="12" customHeight="1" thickBot="1">
      <c r="A42" s="797"/>
      <c r="B42" s="768"/>
      <c r="C42" s="729"/>
      <c r="D42" s="729"/>
      <c r="E42" s="729"/>
      <c r="F42" s="729"/>
      <c r="G42" s="729"/>
      <c r="H42" s="729"/>
      <c r="I42" s="729"/>
      <c r="J42" s="729"/>
      <c r="N42" s="95"/>
      <c r="W42" s="479"/>
      <c r="X42" s="479"/>
      <c r="Y42" s="479"/>
      <c r="Z42" s="479"/>
      <c r="AA42" s="479"/>
      <c r="AB42" s="479"/>
      <c r="AC42" s="479"/>
      <c r="AD42" s="479"/>
      <c r="AE42" s="479"/>
      <c r="AF42" s="479"/>
      <c r="AG42" s="479"/>
      <c r="AH42" s="479"/>
    </row>
    <row r="43" spans="1:34" s="5" customFormat="1" ht="17.25" thickBot="1">
      <c r="A43" s="788" t="s">
        <v>980</v>
      </c>
      <c r="B43" s="661" t="s">
        <v>31</v>
      </c>
      <c r="C43" s="789" t="s">
        <v>1057</v>
      </c>
      <c r="D43" s="661" t="s">
        <v>41</v>
      </c>
      <c r="E43" s="729"/>
      <c r="F43" s="661" t="s">
        <v>1053</v>
      </c>
      <c r="G43" s="789" t="s">
        <v>31</v>
      </c>
      <c r="H43" s="661" t="s">
        <v>1057</v>
      </c>
      <c r="I43" s="661" t="s">
        <v>41</v>
      </c>
      <c r="J43" s="729"/>
      <c r="N43" s="95"/>
      <c r="W43" s="479"/>
      <c r="X43" s="479"/>
      <c r="Y43" s="479"/>
      <c r="Z43" s="479"/>
      <c r="AA43" s="479"/>
      <c r="AB43" s="479"/>
      <c r="AC43" s="479"/>
      <c r="AD43" s="479"/>
      <c r="AE43" s="479"/>
      <c r="AF43" s="479"/>
      <c r="AG43" s="479"/>
      <c r="AH43" s="479"/>
    </row>
    <row r="44" spans="1:34" s="5" customFormat="1" ht="14.65" thickBot="1">
      <c r="A44" s="639" t="s">
        <v>32</v>
      </c>
      <c r="B44" s="790"/>
      <c r="C44" s="810">
        <f>IF('Clinical Info'!$H$6="CPS (PM only)",VLOOKUP('Physical Config Checklist '!$B$41,'Physical Config Checklist '!$V$34:$AB$40,2,FALSE),VLOOKUP('Physical Config Checklist '!$B$41,'Physical Config Checklist '!$V$34:$AH$40,8,FALSE))</f>
        <v>0</v>
      </c>
      <c r="D44" s="767" t="str">
        <f>IF(B44="","&lt;--Enter Data",IF(B44&gt;=B45,"Yes","No"))</f>
        <v>&lt;--Enter Data</v>
      </c>
      <c r="E44" s="729"/>
      <c r="F44" s="785" t="s">
        <v>32</v>
      </c>
      <c r="G44" s="787"/>
      <c r="H44" s="811">
        <f>IF('Clinical Info'!$H$6="CPS (PM only)",VLOOKUP('Physical Config Checklist '!$B$41,'Physical Config Checklist '!$V$34:$AB$40,4,FALSE),VLOOKUP('Physical Config Checklist '!$B$41,'Physical Config Checklist '!$V$34:$AH$40,10,FALSE))</f>
        <v>0</v>
      </c>
      <c r="I44" s="767" t="str">
        <f>IF(G44="","&lt;--Enter Data",IF(G44&gt;=G45,"Yes","No"))</f>
        <v>&lt;--Enter Data</v>
      </c>
      <c r="J44" s="729"/>
      <c r="N44" s="95"/>
      <c r="W44" s="479"/>
      <c r="X44" s="479"/>
      <c r="Y44" s="479"/>
      <c r="Z44" s="479"/>
      <c r="AA44" s="479"/>
      <c r="AB44" s="479"/>
      <c r="AC44" s="479"/>
      <c r="AD44" s="479"/>
      <c r="AE44" s="479"/>
      <c r="AF44" s="479"/>
      <c r="AG44" s="479"/>
      <c r="AH44" s="479"/>
    </row>
    <row r="45" spans="1:34" s="5" customFormat="1" ht="14.65" thickBot="1">
      <c r="A45" s="663" t="s">
        <v>33</v>
      </c>
      <c r="B45" s="229"/>
      <c r="C45" s="735">
        <f>IF('Clinical Info'!$H$6="CPS (PM only)",VLOOKUP('Physical Config Checklist '!$B$41,'Physical Config Checklist '!$V$34:$AB$40,3,FALSE),VLOOKUP('Physical Config Checklist '!$B$41,'Physical Config Checklist '!$V$34:$AH$40,9,FALSE))</f>
        <v>0</v>
      </c>
      <c r="D45" s="767" t="str">
        <f>IF(B45="","&lt;--Enter Data",IF(B45&gt;=B46,"Yes","No"))</f>
        <v>&lt;--Enter Data</v>
      </c>
      <c r="E45" s="729"/>
      <c r="F45" s="786" t="s">
        <v>33</v>
      </c>
      <c r="G45" s="813"/>
      <c r="H45" s="735">
        <f>IF('Clinical Info'!$H$6="CPS (PM only)",VLOOKUP('Physical Config Checklist '!$B$41,'Physical Config Checklist '!$V$34:$AB$40,5,FALSE),VLOOKUP('Physical Config Checklist '!$B$41,'Physical Config Checklist '!$V$34:$AH$40,11,FALSE))</f>
        <v>0</v>
      </c>
      <c r="I45" s="767" t="str">
        <f>IF(G45="","&lt;--Enter Data",IF(G45&gt;=G46,"Yes","No"))</f>
        <v>&lt;--Enter Data</v>
      </c>
      <c r="J45" s="729"/>
      <c r="N45" s="95"/>
      <c r="W45" s="479"/>
      <c r="X45" s="479"/>
      <c r="Y45" s="479"/>
      <c r="Z45" s="479"/>
      <c r="AA45" s="479"/>
      <c r="AB45" s="479"/>
      <c r="AC45" s="479"/>
      <c r="AD45" s="479"/>
      <c r="AE45" s="479"/>
      <c r="AF45" s="479"/>
      <c r="AG45" s="479"/>
      <c r="AH45" s="479"/>
    </row>
    <row r="46" spans="1:34" s="5" customFormat="1" ht="14.65" thickBot="1">
      <c r="A46" s="664" t="s">
        <v>34</v>
      </c>
      <c r="B46" s="771"/>
      <c r="C46" s="811">
        <f>'Virtualized Config Checklist'!B41</f>
        <v>0</v>
      </c>
      <c r="D46" s="772" t="str">
        <f>IF(B46="","&lt;--Enter Data",IF(B46&gt;=B47,"Yes","No"))</f>
        <v>&lt;--Enter Data</v>
      </c>
      <c r="E46" s="729"/>
      <c r="F46" s="646" t="s">
        <v>34</v>
      </c>
      <c r="G46" s="787"/>
      <c r="H46" s="811">
        <f>'Virtualized Config Checklist'!G41</f>
        <v>63</v>
      </c>
      <c r="I46" s="772" t="str">
        <f>IF(G46="","&lt;--Enter Data",IF(G46&gt;=G47,"Yes","No"))</f>
        <v>&lt;--Enter Data</v>
      </c>
      <c r="J46" s="729"/>
      <c r="N46" s="95"/>
      <c r="W46" s="479"/>
      <c r="X46" s="479"/>
      <c r="Y46" s="479"/>
      <c r="Z46" s="479"/>
      <c r="AA46" s="479"/>
      <c r="AB46" s="479"/>
      <c r="AC46" s="479"/>
      <c r="AD46" s="479"/>
      <c r="AE46" s="479"/>
      <c r="AF46" s="479"/>
      <c r="AG46" s="479"/>
      <c r="AH46" s="479"/>
    </row>
    <row r="47" spans="1:34" s="5" customFormat="1" ht="19.5" customHeight="1" thickBot="1">
      <c r="A47" s="284"/>
      <c r="B47" s="751"/>
      <c r="C47" s="751"/>
      <c r="D47" s="751"/>
      <c r="E47" s="729"/>
      <c r="F47" s="729"/>
      <c r="G47" s="729"/>
      <c r="H47" s="729"/>
      <c r="I47" s="729"/>
      <c r="J47" s="729"/>
      <c r="N47" s="95"/>
      <c r="W47" s="479"/>
      <c r="X47" s="479"/>
      <c r="Y47" s="479"/>
      <c r="Z47" s="479"/>
      <c r="AA47" s="479"/>
      <c r="AB47" s="479"/>
      <c r="AC47" s="479"/>
      <c r="AD47" s="479"/>
      <c r="AE47" s="479"/>
      <c r="AF47" s="479"/>
      <c r="AG47" s="479"/>
      <c r="AH47" s="479"/>
    </row>
    <row r="48" spans="1:34" s="5" customFormat="1" ht="17.25" thickBot="1">
      <c r="A48" s="661" t="s">
        <v>991</v>
      </c>
      <c r="B48" s="789" t="s">
        <v>31</v>
      </c>
      <c r="C48" s="661" t="s">
        <v>1057</v>
      </c>
      <c r="D48" s="661" t="s">
        <v>41</v>
      </c>
      <c r="E48" s="729"/>
      <c r="F48" s="729"/>
      <c r="G48" s="729"/>
      <c r="H48" s="729"/>
      <c r="I48" s="729"/>
      <c r="J48" s="729"/>
      <c r="N48" s="95"/>
      <c r="W48" s="479"/>
      <c r="X48" s="479"/>
      <c r="Y48" s="479"/>
      <c r="Z48" s="479"/>
      <c r="AA48" s="479"/>
      <c r="AB48" s="479"/>
      <c r="AC48" s="479"/>
      <c r="AD48" s="479"/>
      <c r="AE48" s="479"/>
      <c r="AF48" s="479"/>
      <c r="AG48" s="479"/>
      <c r="AH48" s="479"/>
    </row>
    <row r="49" spans="1:34" s="5" customFormat="1">
      <c r="A49" s="785" t="s">
        <v>32</v>
      </c>
      <c r="B49" s="784"/>
      <c r="C49" s="735">
        <f>IF('Clinical Info'!$H$6="CPS (PM only)",VLOOKUP('Physical Config Checklist '!$B$41,'Physical Config Checklist '!$V$34:$AB$40,6,FALSE),VLOOKUP('Physical Config Checklist '!$B$41,'Physical Config Checklist '!$V$34:$AH$40,12,FALSE))</f>
        <v>0</v>
      </c>
      <c r="D49" s="767" t="str">
        <f>IF(B49="","&lt;--Enter Data",IF(B49&gt;=B50,"Yes","No"))</f>
        <v>&lt;--Enter Data</v>
      </c>
      <c r="E49" s="729"/>
      <c r="F49" s="729"/>
      <c r="G49" s="729"/>
      <c r="H49" s="729"/>
      <c r="I49" s="729"/>
      <c r="J49" s="729"/>
      <c r="N49" s="95"/>
      <c r="W49" s="479"/>
      <c r="X49" s="479"/>
      <c r="Y49" s="479"/>
      <c r="Z49" s="479"/>
      <c r="AA49" s="479"/>
      <c r="AB49" s="479"/>
      <c r="AC49" s="479"/>
      <c r="AD49" s="479"/>
      <c r="AE49" s="479"/>
      <c r="AF49" s="479"/>
      <c r="AG49" s="479"/>
      <c r="AH49" s="479"/>
    </row>
    <row r="50" spans="1:34" s="5" customFormat="1" ht="14.65" thickBot="1">
      <c r="A50" s="786" t="s">
        <v>33</v>
      </c>
      <c r="B50" s="813"/>
      <c r="C50" s="735">
        <f>IF('Clinical Info'!$H$6="CPS (PM only)",VLOOKUP('Physical Config Checklist '!$B$41,'Physical Config Checklist '!$V$34:$AB$40,7,FALSE),VLOOKUP('Physical Config Checklist '!$B$41,'Physical Config Checklist '!$V$34:$AH$40,13,FALSE))</f>
        <v>0</v>
      </c>
      <c r="D50" s="767" t="str">
        <f>IF(B50="","&lt;--Enter Data",IF(B50&gt;=B51,"Yes","No"))</f>
        <v>&lt;--Enter Data</v>
      </c>
      <c r="E50" s="729"/>
      <c r="F50" s="729"/>
      <c r="G50" s="729"/>
      <c r="H50" s="729"/>
      <c r="I50" s="729"/>
      <c r="J50" s="729"/>
      <c r="N50" s="95"/>
      <c r="W50" s="479"/>
      <c r="X50" s="479"/>
      <c r="Y50" s="479"/>
      <c r="Z50" s="479"/>
      <c r="AA50" s="479"/>
      <c r="AB50" s="479"/>
      <c r="AC50" s="479"/>
      <c r="AD50" s="479"/>
      <c r="AE50" s="479"/>
      <c r="AF50" s="479"/>
      <c r="AG50" s="479"/>
      <c r="AH50" s="479"/>
    </row>
    <row r="51" spans="1:34" s="5" customFormat="1" ht="14.65" thickBot="1">
      <c r="A51" s="646" t="s">
        <v>34</v>
      </c>
      <c r="B51" s="787"/>
      <c r="C51" s="811">
        <f>H46</f>
        <v>63</v>
      </c>
      <c r="D51" s="772" t="str">
        <f>IF(B51="","&lt;--Enter Data",IF(B51&gt;=B52,"Yes","No"))</f>
        <v>&lt;--Enter Data</v>
      </c>
      <c r="E51" s="798"/>
      <c r="F51" s="798"/>
      <c r="G51" s="798"/>
      <c r="H51" s="798"/>
      <c r="I51" s="798"/>
      <c r="J51" s="798"/>
      <c r="N51" s="95"/>
      <c r="W51" s="479"/>
      <c r="X51" s="479"/>
      <c r="Y51" s="479"/>
      <c r="Z51" s="479"/>
      <c r="AA51" s="479"/>
      <c r="AB51" s="479"/>
      <c r="AC51" s="479"/>
      <c r="AD51" s="479"/>
      <c r="AE51" s="479"/>
      <c r="AF51" s="479"/>
      <c r="AG51" s="479"/>
      <c r="AH51" s="479"/>
    </row>
    <row r="52" spans="1:34" s="5" customFormat="1" ht="42.75" hidden="1" customHeight="1" thickBot="1">
      <c r="A52" s="284"/>
      <c r="B52" s="749"/>
      <c r="C52" s="750"/>
      <c r="D52" s="729"/>
      <c r="E52" s="729"/>
      <c r="F52" s="729"/>
      <c r="G52" s="729"/>
      <c r="H52" s="729"/>
      <c r="I52" s="729"/>
      <c r="J52" s="729"/>
      <c r="K52" s="751"/>
      <c r="L52" s="751"/>
      <c r="M52" s="751"/>
      <c r="N52" s="752"/>
      <c r="W52" s="479"/>
      <c r="X52" s="479"/>
      <c r="Y52" s="479"/>
      <c r="Z52" s="479"/>
      <c r="AA52" s="479"/>
      <c r="AB52" s="479"/>
      <c r="AC52" s="479"/>
      <c r="AD52" s="479"/>
      <c r="AE52" s="479"/>
      <c r="AF52" s="479"/>
      <c r="AG52" s="479"/>
      <c r="AH52" s="479"/>
    </row>
    <row r="53" spans="1:34" s="5" customFormat="1" ht="30" hidden="1" customHeight="1">
      <c r="A53" s="226" t="s">
        <v>769</v>
      </c>
      <c r="B53" s="142" t="s">
        <v>31</v>
      </c>
      <c r="C53" s="289"/>
      <c r="D53" s="144"/>
      <c r="F53" s="282"/>
      <c r="G53" s="218"/>
      <c r="H53" s="218"/>
      <c r="I53" s="219"/>
      <c r="K53" s="226" t="str">
        <f>'Virtualized Config Checklist1'!A23</f>
        <v>Jboss- Load Balancer Server</v>
      </c>
      <c r="L53" s="142" t="s">
        <v>31</v>
      </c>
      <c r="M53" s="143"/>
      <c r="N53" s="144"/>
      <c r="T53" t="s">
        <v>60</v>
      </c>
      <c r="W53" s="479"/>
      <c r="X53" s="479"/>
      <c r="Y53" s="479"/>
      <c r="Z53" s="479"/>
      <c r="AA53" s="479"/>
      <c r="AB53" s="479"/>
      <c r="AC53" s="479"/>
      <c r="AD53" s="479"/>
      <c r="AE53" s="479"/>
      <c r="AF53" s="479"/>
      <c r="AG53" s="479"/>
      <c r="AH53" s="479"/>
    </row>
    <row r="54" spans="1:34" s="5" customFormat="1" hidden="1">
      <c r="A54" s="229" t="s">
        <v>760</v>
      </c>
      <c r="B54" s="246"/>
      <c r="C54" s="731"/>
      <c r="D54" s="95"/>
      <c r="F54" s="758"/>
      <c r="G54" s="759"/>
      <c r="H54" s="760"/>
      <c r="I54" s="216"/>
      <c r="K54" s="229" t="s">
        <v>760</v>
      </c>
      <c r="L54" s="246"/>
      <c r="M54" s="26"/>
      <c r="N54" s="95"/>
      <c r="T54" t="s">
        <v>51</v>
      </c>
      <c r="W54" s="479"/>
      <c r="X54" s="479"/>
      <c r="Y54" s="479"/>
      <c r="Z54" s="479"/>
      <c r="AA54" s="479"/>
      <c r="AB54" s="479"/>
      <c r="AC54" s="479"/>
      <c r="AD54" s="479"/>
      <c r="AE54" s="479"/>
      <c r="AF54" s="479"/>
      <c r="AG54" s="479"/>
      <c r="AH54" s="479"/>
    </row>
    <row r="55" spans="1:34" s="5" customFormat="1" hidden="1">
      <c r="A55" s="230" t="s">
        <v>120</v>
      </c>
      <c r="B55" s="247"/>
      <c r="C55" s="731"/>
      <c r="D55" s="95"/>
      <c r="F55" s="758"/>
      <c r="G55" s="759"/>
      <c r="H55" s="760"/>
      <c r="I55" s="216"/>
      <c r="K55" s="230" t="s">
        <v>120</v>
      </c>
      <c r="L55" s="247"/>
      <c r="M55" s="26"/>
      <c r="N55" s="95"/>
      <c r="T55" t="s">
        <v>0</v>
      </c>
      <c r="W55" s="479"/>
      <c r="X55" s="479"/>
      <c r="Y55" s="479"/>
      <c r="Z55" s="479"/>
      <c r="AA55" s="479"/>
      <c r="AB55" s="479"/>
      <c r="AC55" s="479"/>
      <c r="AD55" s="479"/>
      <c r="AE55" s="479"/>
      <c r="AF55" s="479"/>
      <c r="AG55" s="479"/>
      <c r="AH55" s="479"/>
    </row>
    <row r="56" spans="1:34" s="5" customFormat="1" hidden="1">
      <c r="A56" s="229" t="s">
        <v>131</v>
      </c>
      <c r="B56" s="247" t="s">
        <v>60</v>
      </c>
      <c r="C56" s="732"/>
      <c r="D56" s="145"/>
      <c r="F56" s="479"/>
      <c r="G56" s="479"/>
      <c r="H56" s="479"/>
      <c r="K56" s="229" t="s">
        <v>131</v>
      </c>
      <c r="L56" s="247" t="s">
        <v>60</v>
      </c>
      <c r="M56" s="27"/>
      <c r="N56" s="145"/>
      <c r="W56" s="479"/>
      <c r="X56" s="479"/>
      <c r="Y56" s="479"/>
      <c r="Z56" s="479"/>
      <c r="AA56" s="479"/>
      <c r="AB56" s="479"/>
      <c r="AC56" s="479"/>
      <c r="AD56" s="479"/>
      <c r="AE56" s="479"/>
      <c r="AF56" s="479"/>
      <c r="AG56" s="479"/>
      <c r="AH56" s="479"/>
    </row>
    <row r="57" spans="1:34" s="5" customFormat="1" ht="14.65" hidden="1" thickBot="1">
      <c r="A57" s="231"/>
      <c r="B57" s="120"/>
      <c r="C57" s="733" t="s">
        <v>30</v>
      </c>
      <c r="D57" s="146" t="s">
        <v>41</v>
      </c>
      <c r="F57" s="479"/>
      <c r="G57" s="479"/>
      <c r="H57" s="479"/>
      <c r="K57" s="231"/>
      <c r="L57" s="120"/>
      <c r="M57" s="124" t="s">
        <v>30</v>
      </c>
      <c r="N57" s="146" t="s">
        <v>41</v>
      </c>
      <c r="Q57" s="5" t="s">
        <v>763</v>
      </c>
      <c r="T57" t="s">
        <v>60</v>
      </c>
      <c r="U57" t="s">
        <v>91</v>
      </c>
      <c r="W57" s="479"/>
      <c r="X57" s="479"/>
      <c r="Y57" s="479"/>
      <c r="Z57" s="479"/>
      <c r="AA57" s="479"/>
      <c r="AB57" s="479"/>
      <c r="AC57" s="479"/>
      <c r="AD57" s="479"/>
      <c r="AE57" s="479"/>
      <c r="AF57" s="479"/>
      <c r="AG57" s="479"/>
      <c r="AH57" s="479"/>
    </row>
    <row r="58" spans="1:34" s="5" customFormat="1" ht="40.15" hidden="1" thickBot="1">
      <c r="A58" s="230" t="s">
        <v>121</v>
      </c>
      <c r="B58" s="247"/>
      <c r="C58" s="734" t="str">
        <f>IF(ISBLANK(B58),"5520",IF(ISNUMBER(VALUE(LEFT(B58,1))),IF(VALUE(LEFT(B58,2))&lt;55,5520,VLOOKUP(VALUE(LEFT(B58,2)),$V$7:$Y$13,2,FALSE)),VLOOKUP(LEFT(B58,2),$V$7:$Y$13,2,FALSE)))</f>
        <v>5520</v>
      </c>
      <c r="D58" s="280" t="str">
        <f>IF(I58="No","N/A",IF(B58="","&lt;--Enter Data",IF(B58&gt;=C58,"Yes",IF(D64="No","No","No*"))))</f>
        <v>&lt;--Enter Data</v>
      </c>
      <c r="F58" s="282"/>
      <c r="G58" s="479"/>
      <c r="H58" s="761" t="str">
        <f>'Virtualized Config Checklist1'!J18</f>
        <v>Split Jboss App Server into separate UI / Interop servers?</v>
      </c>
      <c r="I58" s="293" t="s">
        <v>60</v>
      </c>
      <c r="K58" s="230" t="s">
        <v>121</v>
      </c>
      <c r="L58" s="247"/>
      <c r="M58" s="236" t="str">
        <f>IF(ISBLANK(L58),"5520",IF(ISNUMBER(VALUE(LEFT(L58,1))),IF(VALUE(LEFT(L58,2))&lt;55,5520,VLOOKUP(VALUE(LEFT(L58,2)),$V$7:$Y$13,2,FALSE)),VLOOKUP(LEFT(L58,2),$V$7:$Y$13,2,FALSE)))</f>
        <v>5520</v>
      </c>
      <c r="N58" s="280" t="str">
        <f>IF(S58="No","N/A",IF(L58="","&lt;--Enter Data",IF(L58&gt;=M58,"Yes",IF(N64="No","No","No*"))))</f>
        <v>&lt;--Enter Data</v>
      </c>
      <c r="Q58" s="290" t="s">
        <v>60</v>
      </c>
      <c r="T58" t="s">
        <v>99</v>
      </c>
      <c r="U58"/>
      <c r="W58" s="479"/>
      <c r="X58" s="479"/>
      <c r="Y58" s="479"/>
      <c r="Z58" s="479"/>
      <c r="AA58" s="479"/>
      <c r="AB58" s="479"/>
      <c r="AC58" s="479"/>
      <c r="AD58" s="479"/>
      <c r="AE58" s="479"/>
      <c r="AF58" s="479"/>
      <c r="AG58" s="479"/>
      <c r="AH58" s="479"/>
    </row>
    <row r="59" spans="1:34" s="5" customFormat="1" ht="14.65" hidden="1" thickBot="1">
      <c r="A59" s="230" t="s">
        <v>33</v>
      </c>
      <c r="B59" s="247"/>
      <c r="C59" s="737" t="e">
        <f>'Virtualized Config Checklist'!G40</f>
        <v>#N/A</v>
      </c>
      <c r="D59" s="147" t="str">
        <f>IF(I58="No","N/A",IF(B59="","&lt;--Enter Data",IF(B59&gt;=C59,"Yes","No")))</f>
        <v>&lt;--Enter Data</v>
      </c>
      <c r="F59" s="479"/>
      <c r="G59" s="814"/>
      <c r="H59" s="761" t="str">
        <f>IF(I58="Yes","Load Balance Jboss UI Servers?","")</f>
        <v/>
      </c>
      <c r="I59" s="293" t="s">
        <v>60</v>
      </c>
      <c r="K59" s="230" t="s">
        <v>33</v>
      </c>
      <c r="L59" s="247"/>
      <c r="M59" s="122" t="str">
        <f>'Virtualized Config Checklist'!B21</f>
        <v/>
      </c>
      <c r="N59" s="147" t="str">
        <f>IF(S58="No","N/A",IF(L59="","&lt;--Enter Data",IF(L59&gt;=M59,"Yes","No")))</f>
        <v>&lt;--Enter Data</v>
      </c>
      <c r="Q59" s="291" t="s">
        <v>51</v>
      </c>
      <c r="T59" t="s">
        <v>140</v>
      </c>
      <c r="U59"/>
      <c r="W59" s="479"/>
      <c r="X59" s="479"/>
      <c r="Y59" s="479"/>
      <c r="Z59" s="479"/>
      <c r="AA59" s="479"/>
      <c r="AB59" s="479"/>
      <c r="AC59" s="479"/>
      <c r="AD59" s="479"/>
      <c r="AE59" s="479"/>
      <c r="AF59" s="479"/>
      <c r="AG59" s="479"/>
      <c r="AH59" s="479"/>
    </row>
    <row r="60" spans="1:34" s="5" customFormat="1" ht="53.25" hidden="1" customHeight="1">
      <c r="A60" s="234" t="s">
        <v>922</v>
      </c>
      <c r="B60" s="246" t="s">
        <v>60</v>
      </c>
      <c r="C60" s="459" t="s">
        <v>1047</v>
      </c>
      <c r="D60" s="147" t="str">
        <f>IF(B60="Select One:","&lt;--Enter Data",IF(B60="Win Svr 2008 R2 SP1 64 bit","Yes",IF(B60="Win Svr 2012 R2 64 bit","Yes",IF(B60="Win Svr 2012 64 bit","Yes",IF(B60="Win Svr 2012","Yes","No")))))</f>
        <v>&lt;--Enter Data</v>
      </c>
      <c r="F60" s="479"/>
      <c r="G60" s="479"/>
      <c r="H60" s="479"/>
      <c r="K60" s="234" t="s">
        <v>922</v>
      </c>
      <c r="L60" s="246" t="s">
        <v>60</v>
      </c>
      <c r="M60" s="459" t="s">
        <v>921</v>
      </c>
      <c r="N60" s="147" t="str">
        <f>IF(L60="Select One:","&lt;--Enter Data",IF(L60="Win Svr 2008 R2 SP1 64 bit","Yes",IF(L60="Win Svr 2012 R2 64 bit","Yes",IF(L60="Win Svr 2012 64 bit","Yes",IF(L60="Win Svr 2012","Yes","No")))))</f>
        <v>&lt;--Enter Data</v>
      </c>
      <c r="Q60" s="292" t="s">
        <v>0</v>
      </c>
      <c r="T60" t="s">
        <v>464</v>
      </c>
      <c r="U60"/>
      <c r="W60" s="479"/>
      <c r="X60" s="479"/>
      <c r="Y60" s="479"/>
      <c r="Z60" s="479"/>
      <c r="AA60" s="479"/>
      <c r="AB60" s="479"/>
      <c r="AC60" s="479"/>
      <c r="AD60" s="479"/>
      <c r="AE60" s="479"/>
      <c r="AF60" s="479"/>
      <c r="AG60" s="479"/>
      <c r="AH60" s="479"/>
    </row>
    <row r="61" spans="1:34" s="5" customFormat="1" hidden="1">
      <c r="A61" s="230" t="s">
        <v>137</v>
      </c>
      <c r="B61" s="246"/>
      <c r="C61" s="740">
        <f>'Virtualized Config Checklist'!G41</f>
        <v>63</v>
      </c>
      <c r="D61" s="147" t="str">
        <f>IF(B61="","&lt;--Enter Data",IF(B61&gt;=C61,"Yes","No"))</f>
        <v>&lt;--Enter Data</v>
      </c>
      <c r="F61" s="479"/>
      <c r="G61" s="479"/>
      <c r="H61" s="479"/>
      <c r="K61" s="230" t="s">
        <v>137</v>
      </c>
      <c r="L61" s="246"/>
      <c r="M61" s="335">
        <f>'Virtualized Config Checklist'!B22</f>
        <v>63</v>
      </c>
      <c r="N61" s="147" t="str">
        <f>IF(L61="","&lt;--Enter Data",IF(L61&gt;=M61,"Yes","No"))</f>
        <v>&lt;--Enter Data</v>
      </c>
      <c r="T61" t="s">
        <v>98</v>
      </c>
      <c r="U61"/>
      <c r="W61" s="479"/>
      <c r="X61" s="479"/>
      <c r="Y61" s="479"/>
      <c r="Z61" s="479"/>
      <c r="AA61" s="479"/>
      <c r="AB61" s="479"/>
      <c r="AC61" s="479"/>
      <c r="AD61" s="479"/>
      <c r="AE61" s="479"/>
      <c r="AF61" s="479"/>
      <c r="AG61" s="479"/>
      <c r="AH61" s="479"/>
    </row>
    <row r="62" spans="1:34" s="5" customFormat="1" hidden="1">
      <c r="A62" s="230" t="s">
        <v>146</v>
      </c>
      <c r="B62" s="246" t="s">
        <v>60</v>
      </c>
      <c r="C62" s="735" t="s">
        <v>465</v>
      </c>
      <c r="D62" s="147" t="str">
        <f>IF(B62="Select One:","&lt;--Enter Data",IF(B62="Raid0","No","Yes"))</f>
        <v>&lt;--Enter Data</v>
      </c>
      <c r="F62" s="479"/>
      <c r="G62" s="479"/>
      <c r="H62" s="479"/>
      <c r="K62" s="230" t="s">
        <v>146</v>
      </c>
      <c r="L62" s="246" t="s">
        <v>60</v>
      </c>
      <c r="M62" s="121" t="s">
        <v>465</v>
      </c>
      <c r="N62" s="147" t="str">
        <f>IF(L62="Select One:","&lt;--Enter Data",IF(L62="Raid0","No","Yes"))</f>
        <v>&lt;--Enter Data</v>
      </c>
      <c r="T62" t="s">
        <v>100</v>
      </c>
      <c r="U62"/>
      <c r="W62" s="479"/>
      <c r="X62" s="479"/>
      <c r="Y62" s="479"/>
      <c r="Z62" s="479"/>
      <c r="AA62" s="479"/>
      <c r="AB62" s="479"/>
      <c r="AC62" s="479"/>
      <c r="AD62" s="479"/>
      <c r="AE62" s="479"/>
      <c r="AF62" s="479"/>
      <c r="AG62" s="479"/>
      <c r="AH62" s="479"/>
    </row>
    <row r="63" spans="1:34" s="5" customFormat="1" ht="19.350000000000001" hidden="1" customHeight="1" thickBot="1">
      <c r="A63" s="230" t="s">
        <v>125</v>
      </c>
      <c r="B63" s="334"/>
      <c r="C63" s="735"/>
      <c r="D63" s="333"/>
      <c r="F63" s="479"/>
      <c r="G63" s="479"/>
      <c r="H63" s="479"/>
      <c r="K63" s="230" t="s">
        <v>125</v>
      </c>
      <c r="L63" s="334"/>
      <c r="M63" s="121"/>
      <c r="N63" s="333"/>
      <c r="T63"/>
      <c r="U63"/>
      <c r="W63" s="479"/>
      <c r="X63" s="782"/>
      <c r="Y63" s="783"/>
      <c r="Z63" s="477" t="s">
        <v>100</v>
      </c>
      <c r="AA63" s="479"/>
      <c r="AB63" s="479"/>
      <c r="AC63" s="479"/>
      <c r="AD63" s="479"/>
      <c r="AE63" s="479"/>
      <c r="AF63" s="479"/>
      <c r="AG63" s="479"/>
      <c r="AH63" s="479"/>
    </row>
    <row r="64" spans="1:34" s="5" customFormat="1" ht="16.350000000000001" hidden="1" customHeight="1" thickBot="1">
      <c r="A64" s="285" t="s">
        <v>144</v>
      </c>
      <c r="B64" s="286">
        <f>IF(B56="YES", (B54*B55*2), (B54*B55))</f>
        <v>0</v>
      </c>
      <c r="C64" s="741" t="e">
        <f>'Virtualized Config Checklist'!G39</f>
        <v>#N/A</v>
      </c>
      <c r="D64" s="288" t="str">
        <f>IF(I58="No","N/A",IF(B64=0,"&lt;--Enter Data",IF(B64&gt;=C64,"Yes","No")))</f>
        <v>&lt;--Enter Data</v>
      </c>
      <c r="E64" s="222"/>
      <c r="F64" s="762"/>
      <c r="G64" s="762"/>
      <c r="H64" s="762"/>
      <c r="I64" s="222"/>
      <c r="J64" s="222"/>
      <c r="K64" s="285" t="s">
        <v>144</v>
      </c>
      <c r="L64" s="286">
        <f>IF(L56="YES", (L54*L55*2), (L54*L55))</f>
        <v>0</v>
      </c>
      <c r="M64" s="287" t="str">
        <f>'Virtualized Config Checklist'!B20</f>
        <v/>
      </c>
      <c r="N64" s="288" t="str">
        <f>IF(S58="No","N/A",IF(L64=0,"&lt;--Enter Data",IF(L64&gt;=M64,"Yes","No")))</f>
        <v>&lt;--Enter Data</v>
      </c>
      <c r="T64"/>
      <c r="U64"/>
      <c r="W64" s="479"/>
      <c r="X64" s="479"/>
      <c r="Y64" s="479"/>
      <c r="Z64" s="479"/>
      <c r="AA64" s="479"/>
      <c r="AB64" s="479"/>
      <c r="AC64" s="479"/>
      <c r="AD64" s="479"/>
      <c r="AE64" s="479"/>
      <c r="AF64" s="479"/>
      <c r="AG64" s="479"/>
      <c r="AH64" s="479"/>
    </row>
    <row r="65" spans="1:34" s="5" customFormat="1" ht="16.149999999999999" hidden="1" thickTop="1" thickBot="1">
      <c r="A65" s="1448" t="s">
        <v>656</v>
      </c>
      <c r="B65" s="1449"/>
      <c r="C65" s="1449"/>
      <c r="D65" s="1449"/>
      <c r="E65" s="1449"/>
      <c r="F65" s="1449"/>
      <c r="G65" s="1449"/>
      <c r="H65" s="1449"/>
      <c r="I65" s="1449"/>
      <c r="J65" s="222"/>
      <c r="K65" s="222"/>
      <c r="L65" s="222"/>
      <c r="N65" s="223"/>
      <c r="T65" t="s">
        <v>60</v>
      </c>
      <c r="U65" t="s">
        <v>117</v>
      </c>
      <c r="W65" s="479"/>
      <c r="X65" s="479"/>
      <c r="Y65" s="479"/>
      <c r="Z65" s="479"/>
      <c r="AA65" s="479"/>
      <c r="AB65" s="479"/>
      <c r="AC65" s="479"/>
      <c r="AD65" s="479"/>
      <c r="AE65" s="479"/>
      <c r="AF65" s="479"/>
      <c r="AG65" s="479"/>
      <c r="AH65" s="479"/>
    </row>
    <row r="66" spans="1:34" s="5" customFormat="1" ht="40.5" hidden="1" customHeight="1" thickTop="1">
      <c r="A66" s="281" t="s">
        <v>652</v>
      </c>
      <c r="B66" s="156">
        <f>'Virtualized Config Checklist1'!B41</f>
        <v>0</v>
      </c>
      <c r="C66" s="742">
        <f>'Virtualized Config Checklist1'!C41</f>
        <v>0</v>
      </c>
      <c r="D66" s="219"/>
      <c r="F66" s="327" t="s">
        <v>908</v>
      </c>
      <c r="G66" s="742">
        <f>'Virtualized Config Checklist1'!G41</f>
        <v>0</v>
      </c>
      <c r="H66" s="742">
        <f>'Virtualized Config Checklist1'!H41</f>
        <v>0</v>
      </c>
      <c r="I66" s="216"/>
      <c r="K66" s="327" t="s">
        <v>911</v>
      </c>
      <c r="L66" s="156">
        <f>'Virtualized Config Checklist1'!R41</f>
        <v>0</v>
      </c>
      <c r="M66" s="124">
        <f>'Virtualized Config Checklist1'!S41</f>
        <v>0</v>
      </c>
      <c r="N66" s="95"/>
      <c r="Q66" s="53" t="s">
        <v>691</v>
      </c>
      <c r="R66" s="5" t="s">
        <v>692</v>
      </c>
      <c r="S66" s="53" t="s">
        <v>701</v>
      </c>
      <c r="T66" t="s">
        <v>114</v>
      </c>
      <c r="U66"/>
      <c r="W66" s="479"/>
      <c r="X66" s="479"/>
      <c r="Y66" s="479"/>
      <c r="Z66" s="479"/>
      <c r="AA66" s="479"/>
      <c r="AB66" s="479"/>
      <c r="AC66" s="479"/>
      <c r="AD66" s="479"/>
      <c r="AE66" s="479"/>
      <c r="AF66" s="479"/>
      <c r="AG66" s="479"/>
      <c r="AH66" s="479"/>
    </row>
    <row r="67" spans="1:34" s="5" customFormat="1" ht="27" hidden="1" customHeight="1">
      <c r="A67" s="473" t="s">
        <v>649</v>
      </c>
      <c r="B67" s="220">
        <f>'Virtualized Config Checklist1'!B42</f>
        <v>0</v>
      </c>
      <c r="C67" s="471">
        <f>'Virtualized Config Checklist1'!C42</f>
        <v>0</v>
      </c>
      <c r="D67" s="217"/>
      <c r="F67" s="815" t="s">
        <v>906</v>
      </c>
      <c r="G67" s="743">
        <f>'Virtualized Config Checklist1'!G42</f>
        <v>0</v>
      </c>
      <c r="H67" s="743">
        <f>'Virtualized Config Checklist1'!H42</f>
        <v>0</v>
      </c>
      <c r="I67" s="216"/>
      <c r="K67" s="476" t="s">
        <v>586</v>
      </c>
      <c r="L67" s="471" t="str">
        <f>'Virtualized Config Checklist1'!R42</f>
        <v>Auto configured by JBoss</v>
      </c>
      <c r="M67" s="220" t="str">
        <f>'Virtualized Config Checklist1'!S42</f>
        <v>Auto configured by JBoss</v>
      </c>
      <c r="N67" s="95"/>
      <c r="Q67" s="53"/>
      <c r="S67" s="252" t="str">
        <f>IF(ISBLANK('Citrix or Terminal Server Info'!H19),"",IF(OR('Citrix or Terminal Server Info'!W32,'Citrix or Terminal Server Info'!W33),"Yes","No"))</f>
        <v>Yes</v>
      </c>
      <c r="T67" t="s">
        <v>115</v>
      </c>
      <c r="U67"/>
      <c r="W67" s="479"/>
      <c r="X67" s="479"/>
      <c r="Y67" s="479"/>
      <c r="Z67" s="479"/>
      <c r="AA67" s="479"/>
      <c r="AB67" s="479"/>
      <c r="AC67" s="479"/>
      <c r="AD67" s="479"/>
      <c r="AE67" s="479"/>
      <c r="AF67" s="479"/>
      <c r="AG67" s="479"/>
      <c r="AH67" s="479"/>
    </row>
    <row r="68" spans="1:34" s="5" customFormat="1" ht="15" hidden="1" thickTop="1" thickBot="1">
      <c r="A68" s="473" t="s">
        <v>650</v>
      </c>
      <c r="B68" s="220">
        <f>'Virtualized Config Checklist1'!B43</f>
        <v>0</v>
      </c>
      <c r="C68" s="471">
        <f>'Virtualized Config Checklist1'!C43</f>
        <v>0</v>
      </c>
      <c r="D68" s="217"/>
      <c r="F68" s="815" t="s">
        <v>907</v>
      </c>
      <c r="G68" s="743">
        <f>'Virtualized Config Checklist1'!G43</f>
        <v>0</v>
      </c>
      <c r="H68" s="743">
        <f>'Virtualized Config Checklist1'!H43</f>
        <v>0</v>
      </c>
      <c r="I68" s="216"/>
      <c r="K68" s="816" t="s">
        <v>909</v>
      </c>
      <c r="L68" s="471">
        <f>'Virtualized Config Checklist1'!R43</f>
        <v>172800</v>
      </c>
      <c r="M68" s="220">
        <f>'Virtualized Config Checklist1'!S43</f>
        <v>172800</v>
      </c>
      <c r="N68" s="95"/>
      <c r="R68" s="5" t="s">
        <v>51</v>
      </c>
      <c r="T68" t="s">
        <v>116</v>
      </c>
      <c r="U68"/>
      <c r="W68" s="479"/>
      <c r="X68" s="479"/>
      <c r="Y68" s="479"/>
      <c r="Z68" s="479"/>
      <c r="AA68" s="479"/>
      <c r="AB68" s="479"/>
      <c r="AC68" s="479"/>
      <c r="AD68" s="479"/>
      <c r="AE68" s="479"/>
      <c r="AF68" s="479"/>
      <c r="AG68" s="479"/>
      <c r="AH68" s="479"/>
    </row>
    <row r="69" spans="1:34" s="5" customFormat="1" ht="27.4" hidden="1" thickTop="1" thickBot="1">
      <c r="A69" s="473" t="s">
        <v>651</v>
      </c>
      <c r="B69" s="220">
        <f>'Virtualized Config Checklist1'!B44</f>
        <v>512</v>
      </c>
      <c r="C69" s="471">
        <f>'Virtualized Config Checklist1'!C44</f>
        <v>512</v>
      </c>
      <c r="D69" s="216"/>
      <c r="F69" s="744"/>
      <c r="G69" s="744"/>
      <c r="H69" s="744"/>
      <c r="I69" s="216"/>
      <c r="K69" s="472" t="s">
        <v>588</v>
      </c>
      <c r="L69" s="475" t="str">
        <f>'Virtualized Config Checklist1'!R44</f>
        <v>Auto configured by JBoss</v>
      </c>
      <c r="M69" s="118" t="str">
        <f>'Virtualized Config Checklist1'!S44</f>
        <v>Auto configured by JBoss</v>
      </c>
      <c r="N69" s="95"/>
      <c r="T69" t="s">
        <v>42</v>
      </c>
      <c r="U69"/>
      <c r="W69" s="479"/>
      <c r="X69" s="479"/>
      <c r="Y69" s="479"/>
      <c r="Z69" s="479"/>
      <c r="AA69" s="479"/>
      <c r="AB69" s="479"/>
      <c r="AC69" s="479"/>
      <c r="AD69" s="479"/>
      <c r="AE69" s="479"/>
      <c r="AF69" s="479"/>
      <c r="AG69" s="479"/>
      <c r="AH69" s="479"/>
    </row>
    <row r="70" spans="1:34" s="5" customFormat="1" ht="15" hidden="1" thickTop="1" thickBot="1">
      <c r="A70" s="473" t="s">
        <v>657</v>
      </c>
      <c r="B70" s="118">
        <f>'Virtualized Config Checklist1'!B45</f>
        <v>0</v>
      </c>
      <c r="C70" s="743">
        <f>'Virtualized Config Checklist1'!C45</f>
        <v>0</v>
      </c>
      <c r="D70" s="216"/>
      <c r="F70" s="744"/>
      <c r="G70" s="744"/>
      <c r="H70" s="744"/>
      <c r="I70" s="216"/>
      <c r="K70" s="18"/>
      <c r="N70" s="95"/>
      <c r="T70"/>
      <c r="U70"/>
      <c r="W70" s="479"/>
      <c r="X70" s="479"/>
      <c r="Y70" s="479"/>
      <c r="Z70" s="479"/>
      <c r="AA70" s="479"/>
      <c r="AB70" s="479"/>
      <c r="AC70" s="479"/>
      <c r="AD70" s="479"/>
      <c r="AE70" s="479"/>
      <c r="AF70" s="479"/>
      <c r="AG70" s="479"/>
      <c r="AH70" s="479"/>
    </row>
    <row r="71" spans="1:34" s="5" customFormat="1" ht="15" hidden="1" thickTop="1" thickBot="1">
      <c r="A71" s="474" t="s">
        <v>582</v>
      </c>
      <c r="B71" s="119">
        <f>'Virtualized Config Checklist1'!B46</f>
        <v>0</v>
      </c>
      <c r="C71" s="475">
        <f>'Virtualized Config Checklist1'!C46</f>
        <v>0</v>
      </c>
      <c r="D71" s="216"/>
      <c r="F71" s="744"/>
      <c r="G71" s="744"/>
      <c r="H71" s="744"/>
      <c r="I71" s="216"/>
      <c r="K71" s="18"/>
      <c r="N71" s="95"/>
      <c r="T71"/>
      <c r="U71"/>
      <c r="W71" s="479"/>
      <c r="X71" s="479"/>
      <c r="Y71" s="479"/>
      <c r="Z71" s="479"/>
      <c r="AA71" s="479"/>
      <c r="AB71" s="479"/>
      <c r="AC71" s="479"/>
      <c r="AD71" s="479"/>
      <c r="AE71" s="479"/>
      <c r="AF71" s="479"/>
      <c r="AG71" s="479"/>
      <c r="AH71" s="479"/>
    </row>
    <row r="72" spans="1:34" s="5" customFormat="1" ht="15" hidden="1" thickTop="1" thickBot="1">
      <c r="A72" s="817"/>
      <c r="B72" s="216"/>
      <c r="C72" s="744"/>
      <c r="D72" s="216"/>
      <c r="F72" s="744"/>
      <c r="G72" s="744"/>
      <c r="H72" s="744"/>
      <c r="I72" s="216"/>
      <c r="K72" s="18"/>
      <c r="N72" s="95"/>
      <c r="T72" t="s">
        <v>60</v>
      </c>
      <c r="U72" t="s">
        <v>44</v>
      </c>
      <c r="W72" s="479"/>
      <c r="X72" s="479"/>
      <c r="Y72" s="479"/>
      <c r="Z72" s="479"/>
      <c r="AA72" s="479"/>
      <c r="AB72" s="479"/>
      <c r="AC72" s="479"/>
      <c r="AD72" s="479"/>
      <c r="AE72" s="479"/>
      <c r="AF72" s="479"/>
      <c r="AG72" s="479"/>
      <c r="AH72" s="479"/>
    </row>
    <row r="73" spans="1:34" s="5" customFormat="1" ht="15" hidden="1" thickTop="1" thickBot="1">
      <c r="A73" s="817"/>
      <c r="B73" s="216"/>
      <c r="C73" s="744"/>
      <c r="D73" s="216"/>
      <c r="E73" s="96"/>
      <c r="F73" s="763"/>
      <c r="G73" s="764"/>
      <c r="H73" s="764"/>
      <c r="I73" s="96"/>
      <c r="J73" s="96"/>
      <c r="K73" s="96"/>
      <c r="L73" s="96"/>
      <c r="M73" s="96"/>
      <c r="N73" s="97"/>
      <c r="T73" t="s">
        <v>472</v>
      </c>
      <c r="U73"/>
      <c r="W73" s="479"/>
      <c r="X73" s="479"/>
      <c r="Y73" s="479"/>
      <c r="Z73" s="479"/>
      <c r="AA73" s="479"/>
      <c r="AB73" s="479"/>
      <c r="AC73" s="479"/>
      <c r="AD73" s="479"/>
      <c r="AE73" s="479"/>
      <c r="AF73" s="479"/>
      <c r="AG73" s="479"/>
      <c r="AH73" s="479"/>
    </row>
    <row r="74" spans="1:34" s="5" customFormat="1" ht="15.75">
      <c r="A74" s="276" t="s">
        <v>754</v>
      </c>
      <c r="B74" s="277"/>
      <c r="C74" s="745"/>
      <c r="D74" s="277"/>
      <c r="E74" s="277"/>
      <c r="F74" s="745"/>
      <c r="G74" s="745"/>
      <c r="H74" s="745"/>
      <c r="I74" s="277"/>
      <c r="J74" s="277"/>
      <c r="K74" s="277"/>
      <c r="L74" s="277"/>
      <c r="M74" s="277"/>
      <c r="N74" s="278"/>
      <c r="T74" t="s">
        <v>473</v>
      </c>
      <c r="U74"/>
      <c r="W74" s="479"/>
      <c r="X74" s="479"/>
      <c r="Y74" s="479"/>
      <c r="Z74" s="479"/>
      <c r="AA74" s="479"/>
      <c r="AB74" s="479"/>
      <c r="AC74" s="479"/>
      <c r="AD74" s="479"/>
      <c r="AE74" s="479"/>
      <c r="AF74" s="479"/>
      <c r="AG74" s="479"/>
      <c r="AH74" s="479"/>
    </row>
    <row r="75" spans="1:34" s="5" customFormat="1" ht="42.75">
      <c r="A75" s="1440" t="s">
        <v>759</v>
      </c>
      <c r="B75" s="1441"/>
      <c r="C75" s="1441"/>
      <c r="D75" s="1441"/>
      <c r="E75" s="1441"/>
      <c r="F75" s="1441"/>
      <c r="G75" s="1441"/>
      <c r="H75" s="1441"/>
      <c r="I75" s="1441"/>
      <c r="J75" s="1441"/>
      <c r="K75" s="1441"/>
      <c r="L75" s="536" t="s">
        <v>755</v>
      </c>
      <c r="M75" s="536" t="s">
        <v>756</v>
      </c>
      <c r="N75" s="537" t="s">
        <v>758</v>
      </c>
      <c r="T75" s="5" t="s">
        <v>474</v>
      </c>
      <c r="W75" s="479"/>
      <c r="X75" s="479"/>
      <c r="Y75" s="479"/>
      <c r="Z75" s="479"/>
      <c r="AA75" s="479"/>
      <c r="AB75" s="479"/>
      <c r="AC75" s="479"/>
      <c r="AD75" s="479"/>
      <c r="AE75" s="479"/>
      <c r="AF75" s="479"/>
      <c r="AG75" s="479"/>
      <c r="AH75" s="479"/>
    </row>
    <row r="76" spans="1:34" s="5" customFormat="1">
      <c r="A76" s="1435" t="s">
        <v>757</v>
      </c>
      <c r="B76" s="1436"/>
      <c r="C76" s="1436"/>
      <c r="D76" s="1436"/>
      <c r="E76" s="1436"/>
      <c r="F76" s="1436"/>
      <c r="G76" s="1436"/>
      <c r="H76" s="1436"/>
      <c r="I76" s="1436"/>
      <c r="J76" s="1436"/>
      <c r="K76" s="1436"/>
      <c r="L76" s="279"/>
      <c r="M76" s="279"/>
      <c r="N76" s="818"/>
      <c r="T76" s="5" t="s">
        <v>42</v>
      </c>
      <c r="W76" s="479"/>
      <c r="X76" s="479"/>
      <c r="Y76" s="479"/>
      <c r="Z76" s="479"/>
      <c r="AA76" s="479"/>
      <c r="AB76" s="479"/>
      <c r="AC76" s="479"/>
      <c r="AD76" s="479"/>
      <c r="AE76" s="479"/>
      <c r="AF76" s="479"/>
      <c r="AG76" s="479"/>
      <c r="AH76" s="479"/>
    </row>
    <row r="77" spans="1:34" s="5" customFormat="1">
      <c r="A77" s="1435" t="s">
        <v>762</v>
      </c>
      <c r="B77" s="1436"/>
      <c r="C77" s="1436"/>
      <c r="D77" s="1436"/>
      <c r="E77" s="1436"/>
      <c r="F77" s="1436"/>
      <c r="G77" s="1436"/>
      <c r="H77" s="1436"/>
      <c r="I77" s="1436"/>
      <c r="J77" s="1436"/>
      <c r="K77" s="1436"/>
      <c r="L77" s="279"/>
      <c r="M77" s="279"/>
      <c r="N77" s="818"/>
      <c r="S77" s="169"/>
      <c r="T77" s="243" t="s">
        <v>696</v>
      </c>
      <c r="U77" s="244"/>
      <c r="W77" s="479"/>
      <c r="X77" s="479"/>
      <c r="Y77" s="479"/>
      <c r="Z77" s="479"/>
      <c r="AA77" s="479"/>
      <c r="AB77" s="479"/>
      <c r="AC77" s="479"/>
      <c r="AD77" s="479"/>
      <c r="AE77" s="479"/>
      <c r="AF77" s="479"/>
      <c r="AG77" s="479"/>
      <c r="AH77" s="479"/>
    </row>
    <row r="78" spans="1:34" s="5" customFormat="1" ht="30.75" customHeight="1" thickBot="1">
      <c r="A78" s="1437" t="s">
        <v>1100</v>
      </c>
      <c r="B78" s="1438"/>
      <c r="C78" s="1438"/>
      <c r="D78" s="1438"/>
      <c r="E78" s="1438"/>
      <c r="F78" s="1438"/>
      <c r="G78" s="1438"/>
      <c r="H78" s="1438"/>
      <c r="I78" s="1438"/>
      <c r="J78" s="1438"/>
      <c r="K78" s="1438"/>
      <c r="L78" s="1438"/>
      <c r="M78" s="1438"/>
      <c r="N78" s="1439"/>
      <c r="S78" s="209" t="str">
        <f>LEFT($T$78, 3)</f>
        <v>Sel</v>
      </c>
      <c r="T78" s="242" t="str">
        <f>'Database Server Info'!K3</f>
        <v>Select One:</v>
      </c>
      <c r="U78" s="209" t="s">
        <v>694</v>
      </c>
      <c r="W78" s="479"/>
      <c r="X78" s="479"/>
      <c r="Y78" s="479"/>
      <c r="Z78" s="479"/>
      <c r="AA78" s="479"/>
      <c r="AB78" s="479"/>
      <c r="AC78" s="479"/>
      <c r="AD78" s="479"/>
      <c r="AE78" s="479"/>
      <c r="AF78" s="479"/>
      <c r="AG78" s="479"/>
      <c r="AH78" s="479"/>
    </row>
    <row r="79" spans="1:34" s="5" customFormat="1">
      <c r="C79" s="479"/>
      <c r="F79" s="479"/>
      <c r="G79" s="479"/>
      <c r="H79" s="479"/>
      <c r="S79" s="209"/>
      <c r="T79" s="242" t="str">
        <f>'Database Server Info'!K4</f>
        <v>Select One:</v>
      </c>
      <c r="U79" s="209" t="s">
        <v>484</v>
      </c>
      <c r="W79" s="479"/>
      <c r="X79" s="479"/>
      <c r="Y79" s="479"/>
      <c r="Z79" s="479"/>
      <c r="AA79" s="479"/>
      <c r="AB79" s="479"/>
      <c r="AC79" s="479"/>
      <c r="AD79" s="479"/>
      <c r="AE79" s="479"/>
      <c r="AF79" s="479"/>
      <c r="AG79" s="479"/>
      <c r="AH79" s="479"/>
    </row>
    <row r="80" spans="1:34" s="5" customFormat="1">
      <c r="C80" s="479"/>
      <c r="F80" s="479"/>
      <c r="G80" s="479"/>
      <c r="H80" s="479"/>
      <c r="S80" s="209"/>
      <c r="T80" s="242" t="str">
        <f>'Citrix or Terminal Server Info'!H5</f>
        <v>Select One:</v>
      </c>
      <c r="U80" s="209" t="s">
        <v>485</v>
      </c>
      <c r="W80" s="479"/>
      <c r="X80" s="479"/>
      <c r="Y80" s="479"/>
      <c r="Z80" s="479"/>
      <c r="AA80" s="479"/>
      <c r="AB80" s="479"/>
      <c r="AC80" s="479"/>
      <c r="AD80" s="479"/>
      <c r="AE80" s="479"/>
      <c r="AF80" s="479"/>
      <c r="AG80" s="479"/>
      <c r="AH80" s="479"/>
    </row>
    <row r="81" spans="1:34" s="5" customFormat="1">
      <c r="C81" s="479"/>
      <c r="F81" s="479"/>
      <c r="G81" s="479"/>
      <c r="H81" s="479"/>
      <c r="S81" s="209" t="str">
        <f>LEFT($T$81, 3)</f>
        <v>Sel</v>
      </c>
      <c r="T81" s="242" t="str">
        <f>'Database Server Info'!M4</f>
        <v>Select One:</v>
      </c>
      <c r="U81" s="209" t="s">
        <v>695</v>
      </c>
      <c r="W81" s="479"/>
      <c r="X81" s="479"/>
      <c r="Y81" s="479"/>
      <c r="Z81" s="479"/>
      <c r="AA81" s="479"/>
      <c r="AB81" s="479"/>
      <c r="AC81" s="479"/>
      <c r="AD81" s="479"/>
      <c r="AE81" s="479"/>
      <c r="AF81" s="479"/>
      <c r="AG81" s="479"/>
      <c r="AH81" s="479"/>
    </row>
    <row r="82" spans="1:34" s="5" customFormat="1">
      <c r="C82" s="479"/>
      <c r="F82" s="479"/>
      <c r="G82" s="479"/>
      <c r="H82" s="479"/>
      <c r="W82" s="479"/>
      <c r="X82" s="479"/>
      <c r="Y82" s="479"/>
      <c r="Z82" s="479"/>
      <c r="AA82" s="479"/>
      <c r="AB82" s="479"/>
      <c r="AC82" s="479"/>
      <c r="AD82" s="479"/>
      <c r="AE82" s="479"/>
      <c r="AF82" s="479"/>
      <c r="AG82" s="479"/>
      <c r="AH82" s="479"/>
    </row>
    <row r="83" spans="1:34" s="5" customFormat="1">
      <c r="C83" s="479"/>
      <c r="F83" s="479"/>
      <c r="G83" s="479"/>
      <c r="H83" s="479"/>
      <c r="W83" s="479"/>
      <c r="X83" s="479"/>
      <c r="Y83" s="479"/>
      <c r="Z83" s="479"/>
      <c r="AA83" s="479"/>
      <c r="AB83" s="479"/>
      <c r="AC83" s="479"/>
      <c r="AD83" s="479"/>
      <c r="AE83" s="479"/>
      <c r="AF83" s="479"/>
      <c r="AG83" s="479"/>
      <c r="AH83" s="479"/>
    </row>
    <row r="84" spans="1:34" s="5" customFormat="1">
      <c r="C84" s="479"/>
      <c r="F84" s="479"/>
      <c r="G84" s="479"/>
      <c r="H84" s="479"/>
      <c r="W84" s="479"/>
      <c r="X84" s="479"/>
      <c r="Y84" s="479"/>
      <c r="Z84" s="479"/>
      <c r="AA84" s="479"/>
      <c r="AB84" s="479"/>
      <c r="AC84" s="479"/>
      <c r="AD84" s="479"/>
      <c r="AE84" s="479"/>
      <c r="AF84" s="479"/>
      <c r="AG84" s="479"/>
      <c r="AH84" s="479"/>
    </row>
    <row r="85" spans="1:34">
      <c r="A85" s="5"/>
      <c r="B85" s="5"/>
      <c r="C85" s="479"/>
      <c r="D85" s="5"/>
      <c r="E85" s="5"/>
      <c r="F85" s="479"/>
      <c r="G85" s="479"/>
      <c r="H85" s="479"/>
      <c r="I85" s="5"/>
      <c r="J85" s="5"/>
      <c r="K85" s="5"/>
      <c r="L85" s="5"/>
      <c r="M85" s="5"/>
      <c r="N85" s="5"/>
    </row>
    <row r="86" spans="1:34">
      <c r="A86" s="5"/>
      <c r="B86" s="5"/>
      <c r="C86" s="479"/>
      <c r="D86" s="5"/>
      <c r="E86" s="5"/>
      <c r="F86" s="479"/>
      <c r="G86" s="479"/>
      <c r="H86" s="479"/>
      <c r="I86" s="5"/>
      <c r="J86" s="5"/>
      <c r="K86" s="5"/>
      <c r="L86" s="5"/>
      <c r="M86" s="5"/>
      <c r="N86" s="5"/>
    </row>
    <row r="87" spans="1:34">
      <c r="A87" s="5"/>
      <c r="B87" s="5"/>
      <c r="C87" s="479"/>
      <c r="D87" s="5"/>
      <c r="E87" s="5"/>
      <c r="F87" s="479"/>
      <c r="G87" s="479"/>
      <c r="H87" s="479"/>
      <c r="I87" s="5"/>
      <c r="J87" s="5"/>
      <c r="K87" s="5"/>
      <c r="L87" s="5"/>
      <c r="M87" s="5"/>
      <c r="N87" s="5"/>
    </row>
    <row r="88" spans="1:34">
      <c r="A88" s="5"/>
      <c r="B88" s="5"/>
      <c r="C88" s="479"/>
      <c r="D88" s="5"/>
      <c r="E88" s="5"/>
      <c r="F88" s="479"/>
      <c r="G88" s="479"/>
      <c r="H88" s="479"/>
      <c r="I88" s="5"/>
      <c r="J88" s="5"/>
      <c r="K88" s="5"/>
      <c r="L88" s="5"/>
      <c r="M88" s="5"/>
      <c r="N88" s="5"/>
    </row>
    <row r="89" spans="1:34">
      <c r="A89" s="5"/>
      <c r="B89" s="5"/>
      <c r="C89" s="479"/>
      <c r="D89" s="5"/>
      <c r="E89" s="5"/>
      <c r="F89" s="479"/>
      <c r="G89" s="479"/>
      <c r="H89" s="479"/>
      <c r="I89" s="5"/>
      <c r="J89" s="5"/>
      <c r="K89" s="5"/>
      <c r="L89" s="5"/>
      <c r="M89" s="5"/>
      <c r="N89" s="5"/>
    </row>
    <row r="90" spans="1:34">
      <c r="A90" s="5"/>
      <c r="B90" s="5"/>
      <c r="C90" s="479"/>
      <c r="D90" s="5"/>
      <c r="E90" s="5"/>
      <c r="F90" s="479"/>
      <c r="G90" s="479"/>
      <c r="H90" s="479"/>
      <c r="I90" s="5"/>
      <c r="J90" s="5"/>
      <c r="K90" s="5"/>
      <c r="L90" s="5"/>
      <c r="M90" s="5"/>
      <c r="N90" s="5"/>
    </row>
    <row r="91" spans="1:34">
      <c r="A91" s="5"/>
      <c r="B91" s="5"/>
      <c r="C91" s="479"/>
      <c r="D91" s="5"/>
      <c r="E91" s="5"/>
      <c r="F91" s="479"/>
      <c r="G91" s="479"/>
      <c r="H91" s="479"/>
      <c r="I91" s="5"/>
      <c r="J91" s="5"/>
      <c r="K91" s="5"/>
      <c r="L91" s="5"/>
      <c r="M91" s="5"/>
      <c r="N91" s="5"/>
    </row>
    <row r="92" spans="1:34">
      <c r="A92" s="5"/>
      <c r="B92" s="5"/>
      <c r="C92" s="479"/>
      <c r="D92" s="5"/>
      <c r="E92" s="5"/>
      <c r="F92" s="479"/>
      <c r="G92" s="479"/>
      <c r="H92" s="479"/>
      <c r="I92" s="5"/>
      <c r="J92" s="5"/>
      <c r="K92" s="5"/>
      <c r="L92" s="5"/>
      <c r="M92" s="5"/>
      <c r="N92" s="5"/>
    </row>
    <row r="93" spans="1:34">
      <c r="A93" s="5"/>
      <c r="B93" s="5"/>
      <c r="C93" s="479"/>
      <c r="D93" s="5"/>
      <c r="E93" s="5"/>
      <c r="F93" s="479"/>
      <c r="G93" s="479"/>
      <c r="H93" s="479"/>
      <c r="I93" s="5"/>
      <c r="J93" s="5"/>
      <c r="K93" s="5"/>
      <c r="L93" s="5"/>
      <c r="M93" s="5"/>
      <c r="N93" s="5"/>
    </row>
    <row r="94" spans="1:34">
      <c r="A94" s="5"/>
      <c r="B94" s="5"/>
      <c r="C94" s="479"/>
      <c r="D94" s="5"/>
      <c r="E94" s="5"/>
      <c r="F94" s="479"/>
      <c r="G94" s="479"/>
      <c r="H94" s="479"/>
      <c r="I94" s="5"/>
      <c r="J94" s="5"/>
      <c r="K94" s="5"/>
      <c r="L94" s="5"/>
      <c r="M94" s="5"/>
      <c r="N94" s="5"/>
    </row>
    <row r="95" spans="1:34">
      <c r="A95" s="5"/>
      <c r="B95" s="5"/>
      <c r="C95" s="479"/>
      <c r="D95" s="5"/>
      <c r="E95" s="5"/>
      <c r="F95" s="479"/>
      <c r="G95" s="479"/>
      <c r="H95" s="479"/>
      <c r="I95" s="5"/>
      <c r="J95" s="5"/>
      <c r="K95" s="5"/>
      <c r="L95" s="5"/>
      <c r="M95" s="5"/>
      <c r="N95" s="5"/>
    </row>
    <row r="96" spans="1:34">
      <c r="A96" s="5"/>
      <c r="B96" s="5"/>
      <c r="C96" s="479"/>
      <c r="D96" s="5"/>
      <c r="E96" s="5"/>
      <c r="F96" s="479"/>
      <c r="G96" s="479"/>
      <c r="H96" s="479"/>
      <c r="I96" s="5"/>
      <c r="J96" s="5"/>
      <c r="K96" s="5"/>
      <c r="L96" s="5"/>
      <c r="M96" s="5"/>
      <c r="N96" s="5"/>
    </row>
    <row r="97" spans="1:14">
      <c r="A97" s="5"/>
      <c r="B97" s="5"/>
      <c r="C97" s="479"/>
      <c r="D97" s="5"/>
      <c r="E97" s="5"/>
      <c r="F97" s="479"/>
      <c r="G97" s="479"/>
      <c r="H97" s="479"/>
      <c r="I97" s="5"/>
      <c r="J97" s="5"/>
      <c r="K97" s="5"/>
      <c r="L97" s="5"/>
      <c r="M97" s="5"/>
      <c r="N97" s="5"/>
    </row>
    <row r="98" spans="1:14">
      <c r="A98" s="5"/>
      <c r="B98" s="5"/>
      <c r="C98" s="479"/>
      <c r="D98" s="5"/>
      <c r="E98" s="5"/>
      <c r="F98" s="479"/>
      <c r="G98" s="479"/>
      <c r="H98" s="479"/>
      <c r="I98" s="5"/>
      <c r="J98" s="5"/>
      <c r="K98" s="5"/>
      <c r="L98" s="5"/>
      <c r="M98" s="5"/>
      <c r="N98" s="5"/>
    </row>
    <row r="99" spans="1:14">
      <c r="A99" s="5"/>
      <c r="B99" s="5"/>
      <c r="C99" s="479"/>
      <c r="D99" s="5"/>
      <c r="E99" s="5"/>
      <c r="F99" s="479"/>
      <c r="G99" s="479"/>
      <c r="H99" s="479"/>
      <c r="I99" s="5"/>
      <c r="J99" s="5"/>
      <c r="K99" s="5"/>
      <c r="L99" s="5"/>
      <c r="M99" s="5"/>
      <c r="N99" s="5"/>
    </row>
  </sheetData>
  <sheetProtection algorithmName="SHA-512" hashValue="sKH0CJE2Eu9SyN9vM9pPGC5V/UhQJG7VMMuCTsH8z2iGvys3aVMyGrC2i0nzBLuRvFusO5qdZe35N8J5iF5Thw==" saltValue="HraO1mecVvGXnJHlxKJBVA==" spinCount="100000" sheet="1"/>
  <mergeCells count="17">
    <mergeCell ref="A77:K77"/>
    <mergeCell ref="A78:N78"/>
    <mergeCell ref="A75:K75"/>
    <mergeCell ref="A2:N2"/>
    <mergeCell ref="A1:N1"/>
    <mergeCell ref="A65:I65"/>
    <mergeCell ref="A76:K76"/>
    <mergeCell ref="C4:D4"/>
    <mergeCell ref="A3:I3"/>
    <mergeCell ref="K3:N3"/>
    <mergeCell ref="G26:H26"/>
    <mergeCell ref="W33:AB33"/>
    <mergeCell ref="AC33:AH33"/>
    <mergeCell ref="C41:I41"/>
    <mergeCell ref="F28:I30"/>
    <mergeCell ref="F32:I33"/>
    <mergeCell ref="A40:I40"/>
  </mergeCells>
  <conditionalFormatting sqref="B18">
    <cfRule type="cellIs" dxfId="805" priority="1031" stopIfTrue="1" operator="equal">
      <formula>$B$17="Other"</formula>
    </cfRule>
  </conditionalFormatting>
  <conditionalFormatting sqref="L16">
    <cfRule type="cellIs" dxfId="804" priority="1030" stopIfTrue="1" operator="equal">
      <formula>$L$15="Other"</formula>
    </cfRule>
  </conditionalFormatting>
  <conditionalFormatting sqref="A1:N2 A26:A27 M66:N68 J65:N65 A12:E12 A13:A17 M11:N11 A5:A11 A4:C4 C7:E11 C27:N27 C6 E4:E6 A33:D33 E31:N31 A64:N64 E61:J63 C13:E17 A60:N60 A29:E29 A20:N20 A18:E19 L18:N18 A3 J3:K3 C26:E26 G26 A28:F28 A32:E32 J32:N32 E30 J28:N30 A22:N24 C21:N21 A25:B25 E25:N25 J18:J19 J4:N10 J11:K11 J12:N17 I26:N26">
    <cfRule type="cellIs" dxfId="803" priority="693" stopIfTrue="1" operator="equal">
      <formula>"Yes"</formula>
    </cfRule>
    <cfRule type="cellIs" dxfId="802" priority="933" stopIfTrue="1" operator="equal">
      <formula>"Not Needed"</formula>
    </cfRule>
    <cfRule type="cellIs" dxfId="801" priority="963" stopIfTrue="1" operator="equal">
      <formula>"&lt;--Enter Data"</formula>
    </cfRule>
    <cfRule type="cellIs" dxfId="800" priority="964" stopIfTrue="1" operator="equal">
      <formula>"Enter Data"</formula>
    </cfRule>
  </conditionalFormatting>
  <conditionalFormatting sqref="K4:N17 K20:N20 L18:N18">
    <cfRule type="expression" dxfId="799" priority="756" stopIfTrue="1">
      <formula>$T$80="Yes"</formula>
    </cfRule>
  </conditionalFormatting>
  <conditionalFormatting sqref="F21:M25 A4:C4 A7:D19 A5:B5 G26 A6:C6">
    <cfRule type="expression" dxfId="798" priority="626" stopIfTrue="1">
      <formula>$S$78="Yes"</formula>
    </cfRule>
  </conditionalFormatting>
  <conditionalFormatting sqref="F20:I20 G27">
    <cfRule type="expression" dxfId="797" priority="630" stopIfTrue="1">
      <formula>OR($T$79="No",$S$78="Yes")</formula>
    </cfRule>
  </conditionalFormatting>
  <conditionalFormatting sqref="D13:D17 D19 N11:N15 I23 D26:D29 D32:D33 D58:D60 D64 N64 N58:N60 N17:N18 N20">
    <cfRule type="cellIs" dxfId="796" priority="757" stopIfTrue="1" operator="equal">
      <formula>"No"</formula>
    </cfRule>
  </conditionalFormatting>
  <conditionalFormatting sqref="D13 N11 D26">
    <cfRule type="cellIs" dxfId="795" priority="636" operator="equal">
      <formula>"No*"</formula>
    </cfRule>
  </conditionalFormatting>
  <conditionalFormatting sqref="A58:A59 A53:J57 C59:F59 C58:E58 J58:J59">
    <cfRule type="cellIs" dxfId="794" priority="619" stopIfTrue="1" operator="equal">
      <formula>"Yes"</formula>
    </cfRule>
    <cfRule type="cellIs" dxfId="793" priority="622" stopIfTrue="1" operator="equal">
      <formula>"Not Needed"</formula>
    </cfRule>
    <cfRule type="cellIs" dxfId="792" priority="624" stopIfTrue="1" operator="equal">
      <formula>"&lt;--Enter Data"</formula>
    </cfRule>
    <cfRule type="cellIs" dxfId="791" priority="625" stopIfTrue="1" operator="equal">
      <formula>"Enter Data"</formula>
    </cfRule>
  </conditionalFormatting>
  <conditionalFormatting sqref="I55">
    <cfRule type="cellIs" dxfId="790" priority="621" stopIfTrue="1" operator="equal">
      <formula>"No"</formula>
    </cfRule>
  </conditionalFormatting>
  <conditionalFormatting sqref="D58">
    <cfRule type="cellIs" dxfId="789" priority="617" operator="equal">
      <formula>"No*"</formula>
    </cfRule>
  </conditionalFormatting>
  <conditionalFormatting sqref="F58 A38 D34 B34">
    <cfRule type="cellIs" dxfId="788" priority="613" stopIfTrue="1" operator="equal">
      <formula>"&lt;--Enter Data"</formula>
    </cfRule>
    <cfRule type="cellIs" dxfId="787" priority="614" stopIfTrue="1" operator="equal">
      <formula>"Yes"</formula>
    </cfRule>
    <cfRule type="cellIs" dxfId="786" priority="615" stopIfTrue="1" operator="equal">
      <formula>"Not Needed"</formula>
    </cfRule>
    <cfRule type="cellIs" dxfId="785" priority="616" stopIfTrue="1" operator="equal">
      <formula>"No"</formula>
    </cfRule>
  </conditionalFormatting>
  <conditionalFormatting sqref="I58">
    <cfRule type="cellIs" dxfId="784" priority="609" stopIfTrue="1" operator="equal">
      <formula>"&lt;--Enter Data"</formula>
    </cfRule>
    <cfRule type="cellIs" dxfId="783" priority="610" stopIfTrue="1" operator="equal">
      <formula>"Not Needed"</formula>
    </cfRule>
  </conditionalFormatting>
  <conditionalFormatting sqref="I59">
    <cfRule type="cellIs" dxfId="782" priority="592" stopIfTrue="1" operator="equal">
      <formula>"&lt;--Enter Data"</formula>
    </cfRule>
    <cfRule type="cellIs" dxfId="781" priority="593" stopIfTrue="1" operator="equal">
      <formula>"Not Needed"</formula>
    </cfRule>
  </conditionalFormatting>
  <conditionalFormatting sqref="A33:B33 I59 C66:C73 H66 M66:M69 A53:D60 A64:D64 K64:N65 H69:H72 K53:N60">
    <cfRule type="expression" dxfId="780" priority="454" stopIfTrue="1">
      <formula>$I$58&lt;&gt;"Yes"</formula>
    </cfRule>
  </conditionalFormatting>
  <conditionalFormatting sqref="A33:B33 K64:N64 K53:N60">
    <cfRule type="expression" dxfId="779" priority="452" stopIfTrue="1">
      <formula>($I$59&lt;&gt;"Yes")</formula>
    </cfRule>
  </conditionalFormatting>
  <conditionalFormatting sqref="J42:J52 A22:D24 A32:D33 A64:N65 E61:J63 A66:E68 G66:J66 I67:N67 L66:N66 I68:J68 L68:N68 A69:N73 A53:N60 A35:D35 A36:A38 A52:D52 A41:B41 C42:I42 E43 A47 C21:D21 A26:D29 A25:B25">
    <cfRule type="expression" dxfId="778" priority="453" stopIfTrue="1">
      <formula>OR($S$81="Yes",$T$79="Yes")</formula>
    </cfRule>
  </conditionalFormatting>
  <conditionalFormatting sqref="K58:K59 K53:N57 M58:N59">
    <cfRule type="cellIs" dxfId="777" priority="584" stopIfTrue="1" operator="equal">
      <formula>"Yes"</formula>
    </cfRule>
    <cfRule type="cellIs" dxfId="776" priority="585" stopIfTrue="1" operator="equal">
      <formula>"Not Needed"</formula>
    </cfRule>
    <cfRule type="cellIs" dxfId="775" priority="586" stopIfTrue="1" operator="equal">
      <formula>"&lt;--Enter Data"</formula>
    </cfRule>
    <cfRule type="cellIs" dxfId="774" priority="588" stopIfTrue="1" operator="equal">
      <formula>"Enter Data"</formula>
    </cfRule>
  </conditionalFormatting>
  <conditionalFormatting sqref="N58">
    <cfRule type="cellIs" dxfId="773" priority="582" operator="equal">
      <formula>"No*"</formula>
    </cfRule>
  </conditionalFormatting>
  <conditionalFormatting sqref="A4:C4 A7:D19 A5:B5 G26 A6:C6">
    <cfRule type="expression" dxfId="772" priority="576" stopIfTrue="1">
      <formula>($T$79="Yes")</formula>
    </cfRule>
  </conditionalFormatting>
  <conditionalFormatting sqref="F57:I63">
    <cfRule type="expression" dxfId="771" priority="575">
      <formula>$T$1="Yes"</formula>
    </cfRule>
  </conditionalFormatting>
  <conditionalFormatting sqref="G27">
    <cfRule type="expression" dxfId="770" priority="574" stopIfTrue="1">
      <formula>$S$78="Yes"</formula>
    </cfRule>
  </conditionalFormatting>
  <conditionalFormatting sqref="G27">
    <cfRule type="expression" dxfId="769" priority="573" stopIfTrue="1">
      <formula>($T$79="Yes")</formula>
    </cfRule>
  </conditionalFormatting>
  <conditionalFormatting sqref="G27">
    <cfRule type="expression" dxfId="768" priority="572" stopIfTrue="1">
      <formula>$S$78="Yes"</formula>
    </cfRule>
  </conditionalFormatting>
  <conditionalFormatting sqref="G27">
    <cfRule type="expression" dxfId="767" priority="571" stopIfTrue="1">
      <formula>($T$79="Yes")</formula>
    </cfRule>
  </conditionalFormatting>
  <conditionalFormatting sqref="G27">
    <cfRule type="expression" dxfId="766" priority="570" stopIfTrue="1">
      <formula>$S$78="Yes"</formula>
    </cfRule>
  </conditionalFormatting>
  <conditionalFormatting sqref="G27">
    <cfRule type="expression" dxfId="765" priority="569" stopIfTrue="1">
      <formula>($T$79="Yes")</formula>
    </cfRule>
  </conditionalFormatting>
  <conditionalFormatting sqref="D5:D6">
    <cfRule type="cellIs" dxfId="764" priority="565" stopIfTrue="1" operator="equal">
      <formula>"Yes"</formula>
    </cfRule>
    <cfRule type="cellIs" dxfId="763" priority="566" stopIfTrue="1" operator="equal">
      <formula>"Not Needed"</formula>
    </cfRule>
    <cfRule type="cellIs" dxfId="762" priority="567" stopIfTrue="1" operator="equal">
      <formula>"&lt;--Enter Data"</formula>
    </cfRule>
    <cfRule type="cellIs" dxfId="761" priority="568" stopIfTrue="1" operator="equal">
      <formula>"Enter Data"</formula>
    </cfRule>
  </conditionalFormatting>
  <conditionalFormatting sqref="D5:D6">
    <cfRule type="expression" dxfId="760" priority="564" stopIfTrue="1">
      <formula>$S$78="Yes"</formula>
    </cfRule>
  </conditionalFormatting>
  <conditionalFormatting sqref="D5:D6">
    <cfRule type="expression" dxfId="759" priority="563" stopIfTrue="1">
      <formula>($T$79="Yes")</formula>
    </cfRule>
  </conditionalFormatting>
  <conditionalFormatting sqref="C5">
    <cfRule type="cellIs" dxfId="758" priority="537" stopIfTrue="1" operator="equal">
      <formula>"Yes"</formula>
    </cfRule>
    <cfRule type="cellIs" dxfId="757" priority="538" stopIfTrue="1" operator="equal">
      <formula>"Not Needed"</formula>
    </cfRule>
    <cfRule type="cellIs" dxfId="756" priority="539" stopIfTrue="1" operator="equal">
      <formula>"&lt;--Enter Data"</formula>
    </cfRule>
    <cfRule type="cellIs" dxfId="755" priority="540" stopIfTrue="1" operator="equal">
      <formula>"Enter Data"</formula>
    </cfRule>
  </conditionalFormatting>
  <conditionalFormatting sqref="C5">
    <cfRule type="expression" dxfId="754" priority="536" stopIfTrue="1">
      <formula>$S$78="Yes"</formula>
    </cfRule>
  </conditionalFormatting>
  <conditionalFormatting sqref="C5">
    <cfRule type="expression" dxfId="753" priority="535" stopIfTrue="1">
      <formula>($T$79="Yes")</formula>
    </cfRule>
  </conditionalFormatting>
  <conditionalFormatting sqref="K52">
    <cfRule type="cellIs" dxfId="752" priority="531" stopIfTrue="1" operator="equal">
      <formula>"Yes"</formula>
    </cfRule>
    <cfRule type="cellIs" dxfId="751" priority="532" stopIfTrue="1" operator="equal">
      <formula>"Not Needed"</formula>
    </cfRule>
    <cfRule type="cellIs" dxfId="750" priority="533" stopIfTrue="1" operator="equal">
      <formula>"&lt;--Enter Data"</formula>
    </cfRule>
    <cfRule type="cellIs" dxfId="749" priority="534" stopIfTrue="1" operator="equal">
      <formula>"Enter Data"</formula>
    </cfRule>
  </conditionalFormatting>
  <conditionalFormatting sqref="K52">
    <cfRule type="expression" dxfId="748" priority="530" stopIfTrue="1">
      <formula>OR($S$81="Yes",$T$79="Yes")</formula>
    </cfRule>
  </conditionalFormatting>
  <conditionalFormatting sqref="A30 C30:D30">
    <cfRule type="cellIs" dxfId="747" priority="525" stopIfTrue="1" operator="equal">
      <formula>"Yes"</formula>
    </cfRule>
    <cfRule type="cellIs" dxfId="746" priority="527" stopIfTrue="1" operator="equal">
      <formula>"Not Needed"</formula>
    </cfRule>
    <cfRule type="cellIs" dxfId="745" priority="528" stopIfTrue="1" operator="equal">
      <formula>"&lt;--Enter Data"</formula>
    </cfRule>
    <cfRule type="cellIs" dxfId="744" priority="529" stopIfTrue="1" operator="equal">
      <formula>"Enter Data"</formula>
    </cfRule>
  </conditionalFormatting>
  <conditionalFormatting sqref="A30:D30">
    <cfRule type="expression" dxfId="743" priority="524" stopIfTrue="1">
      <formula>$S$78="Yes"</formula>
    </cfRule>
  </conditionalFormatting>
  <conditionalFormatting sqref="D30">
    <cfRule type="cellIs" dxfId="742" priority="526" stopIfTrue="1" operator="equal">
      <formula>"No"</formula>
    </cfRule>
  </conditionalFormatting>
  <conditionalFormatting sqref="A30:D30">
    <cfRule type="expression" dxfId="741" priority="523" stopIfTrue="1">
      <formula>($T$79="Yes")</formula>
    </cfRule>
  </conditionalFormatting>
  <conditionalFormatting sqref="B31">
    <cfRule type="cellIs" dxfId="740" priority="522" stopIfTrue="1" operator="equal">
      <formula>$B$17="Other"</formula>
    </cfRule>
  </conditionalFormatting>
  <conditionalFormatting sqref="A31:D31">
    <cfRule type="cellIs" dxfId="739" priority="518" stopIfTrue="1" operator="equal">
      <formula>"Yes"</formula>
    </cfRule>
    <cfRule type="cellIs" dxfId="738" priority="519" stopIfTrue="1" operator="equal">
      <formula>"Not Needed"</formula>
    </cfRule>
    <cfRule type="cellIs" dxfId="737" priority="520" stopIfTrue="1" operator="equal">
      <formula>"&lt;--Enter Data"</formula>
    </cfRule>
    <cfRule type="cellIs" dxfId="736" priority="521" stopIfTrue="1" operator="equal">
      <formula>"Enter Data"</formula>
    </cfRule>
  </conditionalFormatting>
  <conditionalFormatting sqref="A31:D31">
    <cfRule type="expression" dxfId="735" priority="517" stopIfTrue="1">
      <formula>$S$78="Yes"</formula>
    </cfRule>
  </conditionalFormatting>
  <conditionalFormatting sqref="A31:D31">
    <cfRule type="expression" dxfId="734" priority="516" stopIfTrue="1">
      <formula>($T$79="Yes")</formula>
    </cfRule>
  </conditionalFormatting>
  <conditionalFormatting sqref="I59">
    <cfRule type="cellIs" dxfId="733" priority="514" stopIfTrue="1" operator="equal">
      <formula>"&lt;--Enter Data"</formula>
    </cfRule>
    <cfRule type="cellIs" dxfId="732" priority="515" stopIfTrue="1" operator="equal">
      <formula>"Not Needed"</formula>
    </cfRule>
  </conditionalFormatting>
  <conditionalFormatting sqref="I59">
    <cfRule type="cellIs" dxfId="731" priority="512" stopIfTrue="1" operator="equal">
      <formula>"&lt;--Enter Data"</formula>
    </cfRule>
    <cfRule type="cellIs" dxfId="730" priority="513" stopIfTrue="1" operator="equal">
      <formula>"Not Needed"</formula>
    </cfRule>
  </conditionalFormatting>
  <conditionalFormatting sqref="K61:N63">
    <cfRule type="cellIs" dxfId="729" priority="467" stopIfTrue="1" operator="equal">
      <formula>"Yes"</formula>
    </cfRule>
    <cfRule type="cellIs" dxfId="728" priority="469" stopIfTrue="1" operator="equal">
      <formula>"Not Needed"</formula>
    </cfRule>
    <cfRule type="cellIs" dxfId="727" priority="470" stopIfTrue="1" operator="equal">
      <formula>"&lt;--Enter Data"</formula>
    </cfRule>
    <cfRule type="cellIs" dxfId="726" priority="471" stopIfTrue="1" operator="equal">
      <formula>"Enter Data"</formula>
    </cfRule>
  </conditionalFormatting>
  <conditionalFormatting sqref="N61:N63">
    <cfRule type="cellIs" dxfId="725" priority="468" stopIfTrue="1" operator="equal">
      <formula>"No"</formula>
    </cfRule>
  </conditionalFormatting>
  <conditionalFormatting sqref="K61:N63">
    <cfRule type="expression" dxfId="724" priority="466" stopIfTrue="1">
      <formula>$I$58&lt;&gt;"Yes"</formula>
    </cfRule>
  </conditionalFormatting>
  <conditionalFormatting sqref="K61:N63">
    <cfRule type="expression" dxfId="723" priority="464" stopIfTrue="1">
      <formula>($I$59&lt;&gt;"Yes")</formula>
    </cfRule>
  </conditionalFormatting>
  <conditionalFormatting sqref="K61:N63">
    <cfRule type="expression" dxfId="722" priority="465" stopIfTrue="1">
      <formula>OR($S$81="Yes",$T$79="Yes")</formula>
    </cfRule>
  </conditionalFormatting>
  <conditionalFormatting sqref="A61:D63">
    <cfRule type="cellIs" dxfId="721" priority="459" stopIfTrue="1" operator="equal">
      <formula>"Yes"</formula>
    </cfRule>
    <cfRule type="cellIs" dxfId="720" priority="461" stopIfTrue="1" operator="equal">
      <formula>"Not Needed"</formula>
    </cfRule>
    <cfRule type="cellIs" dxfId="719" priority="462" stopIfTrue="1" operator="equal">
      <formula>"&lt;--Enter Data"</formula>
    </cfRule>
    <cfRule type="cellIs" dxfId="718" priority="463" stopIfTrue="1" operator="equal">
      <formula>"Enter Data"</formula>
    </cfRule>
  </conditionalFormatting>
  <conditionalFormatting sqref="D61:D63">
    <cfRule type="cellIs" dxfId="717" priority="460" stopIfTrue="1" operator="equal">
      <formula>"No"</formula>
    </cfRule>
  </conditionalFormatting>
  <conditionalFormatting sqref="A61:D63">
    <cfRule type="expression" dxfId="716" priority="458" stopIfTrue="1">
      <formula>$I$58&lt;&gt;"Yes"</formula>
    </cfRule>
  </conditionalFormatting>
  <conditionalFormatting sqref="A61:D63">
    <cfRule type="expression" dxfId="715" priority="457" stopIfTrue="1">
      <formula>OR($S$81="Yes",$T$79="Yes")</formula>
    </cfRule>
  </conditionalFormatting>
  <conditionalFormatting sqref="N58:N59">
    <cfRule type="cellIs" dxfId="714" priority="456" stopIfTrue="1" operator="equal">
      <formula>"Yes"</formula>
    </cfRule>
    <cfRule type="cellIs" dxfId="713" priority="577" stopIfTrue="1" operator="equal">
      <formula>"Not Needed"</formula>
    </cfRule>
    <cfRule type="cellIs" dxfId="712" priority="579" stopIfTrue="1" operator="equal">
      <formula>"&lt;--Enter Data"</formula>
    </cfRule>
    <cfRule type="cellIs" dxfId="711" priority="581" stopIfTrue="1" operator="equal">
      <formula>"Enter Data"</formula>
    </cfRule>
  </conditionalFormatting>
  <conditionalFormatting sqref="N58">
    <cfRule type="cellIs" dxfId="710" priority="455" operator="equal">
      <formula>"No*"</formula>
    </cfRule>
  </conditionalFormatting>
  <conditionalFormatting sqref="C28">
    <cfRule type="expression" dxfId="709" priority="434" stopIfTrue="1">
      <formula>$S$78="Yes"</formula>
    </cfRule>
  </conditionalFormatting>
  <conditionalFormatting sqref="C28">
    <cfRule type="expression" dxfId="708" priority="433" stopIfTrue="1">
      <formula>($T$79="Yes")</formula>
    </cfRule>
  </conditionalFormatting>
  <conditionalFormatting sqref="C60">
    <cfRule type="expression" dxfId="707" priority="432" stopIfTrue="1">
      <formula>$S$78="Yes"</formula>
    </cfRule>
  </conditionalFormatting>
  <conditionalFormatting sqref="C60">
    <cfRule type="expression" dxfId="706" priority="431" stopIfTrue="1">
      <formula>($T$79="Yes")</formula>
    </cfRule>
  </conditionalFormatting>
  <conditionalFormatting sqref="M60">
    <cfRule type="expression" dxfId="705" priority="430" stopIfTrue="1">
      <formula>$S$78="Yes"</formula>
    </cfRule>
  </conditionalFormatting>
  <conditionalFormatting sqref="M60">
    <cfRule type="expression" dxfId="704" priority="429" stopIfTrue="1">
      <formula>($T$79="Yes")</formula>
    </cfRule>
  </conditionalFormatting>
  <conditionalFormatting sqref="A28">
    <cfRule type="expression" dxfId="703" priority="426" stopIfTrue="1">
      <formula>$S$78="Yes"</formula>
    </cfRule>
  </conditionalFormatting>
  <conditionalFormatting sqref="A28">
    <cfRule type="expression" dxfId="702" priority="425" stopIfTrue="1">
      <formula>($T$79="Yes")</formula>
    </cfRule>
  </conditionalFormatting>
  <conditionalFormatting sqref="A60">
    <cfRule type="expression" dxfId="701" priority="424" stopIfTrue="1">
      <formula>$S$78="Yes"</formula>
    </cfRule>
  </conditionalFormatting>
  <conditionalFormatting sqref="A60">
    <cfRule type="expression" dxfId="700" priority="423" stopIfTrue="1">
      <formula>($T$79="Yes")</formula>
    </cfRule>
  </conditionalFormatting>
  <conditionalFormatting sqref="K60">
    <cfRule type="expression" dxfId="699" priority="422" stopIfTrue="1">
      <formula>$S$78="Yes"</formula>
    </cfRule>
  </conditionalFormatting>
  <conditionalFormatting sqref="K60">
    <cfRule type="expression" dxfId="698" priority="421" stopIfTrue="1">
      <formula>($T$79="Yes")</formula>
    </cfRule>
  </conditionalFormatting>
  <conditionalFormatting sqref="K60">
    <cfRule type="expression" dxfId="697" priority="420" stopIfTrue="1">
      <formula>$S$78="Yes"</formula>
    </cfRule>
  </conditionalFormatting>
  <conditionalFormatting sqref="K60">
    <cfRule type="expression" dxfId="696" priority="419" stopIfTrue="1">
      <formula>($T$79="Yes")</formula>
    </cfRule>
  </conditionalFormatting>
  <conditionalFormatting sqref="G67:H68 K66 F66:F68 K68">
    <cfRule type="expression" dxfId="695" priority="1409" stopIfTrue="1">
      <formula>(#REF!="Not Virtualized")</formula>
    </cfRule>
  </conditionalFormatting>
  <conditionalFormatting sqref="C28">
    <cfRule type="expression" dxfId="694" priority="418" stopIfTrue="1">
      <formula>$S$78="Yes"</formula>
    </cfRule>
  </conditionalFormatting>
  <conditionalFormatting sqref="C28">
    <cfRule type="expression" dxfId="693" priority="417" stopIfTrue="1">
      <formula>($T$79="Yes")</formula>
    </cfRule>
  </conditionalFormatting>
  <conditionalFormatting sqref="N19">
    <cfRule type="cellIs" dxfId="692" priority="411" stopIfTrue="1" operator="equal">
      <formula>"Yes"</formula>
    </cfRule>
    <cfRule type="cellIs" dxfId="691" priority="414" stopIfTrue="1" operator="equal">
      <formula>"Not Needed"</formula>
    </cfRule>
    <cfRule type="cellIs" dxfId="690" priority="415" stopIfTrue="1" operator="equal">
      <formula>"&lt;--Enter Data"</formula>
    </cfRule>
    <cfRule type="cellIs" dxfId="689" priority="416" stopIfTrue="1" operator="equal">
      <formula>"Enter Data"</formula>
    </cfRule>
  </conditionalFormatting>
  <conditionalFormatting sqref="N19">
    <cfRule type="expression" dxfId="688" priority="412" stopIfTrue="1">
      <formula>$T$80="Yes"</formula>
    </cfRule>
  </conditionalFormatting>
  <conditionalFormatting sqref="N19">
    <cfRule type="cellIs" dxfId="687" priority="413" stopIfTrue="1" operator="equal">
      <formula>"No"</formula>
    </cfRule>
  </conditionalFormatting>
  <conditionalFormatting sqref="L19">
    <cfRule type="cellIs" dxfId="686" priority="406" stopIfTrue="1" operator="equal">
      <formula>"Yes"</formula>
    </cfRule>
    <cfRule type="cellIs" dxfId="685" priority="408" stopIfTrue="1" operator="equal">
      <formula>"Not Needed"</formula>
    </cfRule>
    <cfRule type="cellIs" dxfId="684" priority="409" stopIfTrue="1" operator="equal">
      <formula>"&lt;--Enter Data"</formula>
    </cfRule>
    <cfRule type="cellIs" dxfId="683" priority="410" stopIfTrue="1" operator="equal">
      <formula>"Enter Data"</formula>
    </cfRule>
  </conditionalFormatting>
  <conditionalFormatting sqref="L19">
    <cfRule type="expression" dxfId="682" priority="407" stopIfTrue="1">
      <formula>$T$80="Yes"</formula>
    </cfRule>
  </conditionalFormatting>
  <conditionalFormatting sqref="M19">
    <cfRule type="cellIs" dxfId="681" priority="401" stopIfTrue="1" operator="equal">
      <formula>"Yes"</formula>
    </cfRule>
    <cfRule type="cellIs" dxfId="680" priority="403" stopIfTrue="1" operator="equal">
      <formula>"Not Needed"</formula>
    </cfRule>
    <cfRule type="cellIs" dxfId="679" priority="404" stopIfTrue="1" operator="equal">
      <formula>"&lt;--Enter Data"</formula>
    </cfRule>
    <cfRule type="cellIs" dxfId="678" priority="405" stopIfTrue="1" operator="equal">
      <formula>"Enter Data"</formula>
    </cfRule>
  </conditionalFormatting>
  <conditionalFormatting sqref="M19">
    <cfRule type="expression" dxfId="677" priority="402" stopIfTrue="1">
      <formula>$T$80="Yes"</formula>
    </cfRule>
  </conditionalFormatting>
  <conditionalFormatting sqref="K18:K19">
    <cfRule type="cellIs" dxfId="676" priority="396" stopIfTrue="1" operator="equal">
      <formula>"Yes"</formula>
    </cfRule>
    <cfRule type="cellIs" dxfId="675" priority="398" stopIfTrue="1" operator="equal">
      <formula>"Not Needed"</formula>
    </cfRule>
    <cfRule type="cellIs" dxfId="674" priority="399" stopIfTrue="1" operator="equal">
      <formula>"&lt;--Enter Data"</formula>
    </cfRule>
    <cfRule type="cellIs" dxfId="673" priority="400" stopIfTrue="1" operator="equal">
      <formula>"Enter Data"</formula>
    </cfRule>
  </conditionalFormatting>
  <conditionalFormatting sqref="K18:K19">
    <cfRule type="expression" dxfId="672" priority="397" stopIfTrue="1">
      <formula>$T$80="Yes"</formula>
    </cfRule>
  </conditionalFormatting>
  <conditionalFormatting sqref="A38 D34 A34:B34">
    <cfRule type="expression" dxfId="671" priority="384" stopIfTrue="1">
      <formula>($X$64="Yes")</formula>
    </cfRule>
  </conditionalFormatting>
  <conditionalFormatting sqref="A38 D34 A34:B34">
    <cfRule type="expression" dxfId="670" priority="383" stopIfTrue="1">
      <formula>($X$62="Not Virtualized")</formula>
    </cfRule>
  </conditionalFormatting>
  <conditionalFormatting sqref="A34">
    <cfRule type="cellIs" dxfId="669" priority="379" stopIfTrue="1" operator="equal">
      <formula>"&lt;--Enter Data"</formula>
    </cfRule>
    <cfRule type="cellIs" dxfId="668" priority="380" stopIfTrue="1" operator="equal">
      <formula>"Yes"</formula>
    </cfRule>
    <cfRule type="cellIs" dxfId="667" priority="381" stopIfTrue="1" operator="equal">
      <formula>"Not Needed"</formula>
    </cfRule>
    <cfRule type="cellIs" dxfId="666" priority="382" stopIfTrue="1" operator="equal">
      <formula>"No"</formula>
    </cfRule>
  </conditionalFormatting>
  <conditionalFormatting sqref="A36">
    <cfRule type="expression" dxfId="665" priority="356" stopIfTrue="1">
      <formula>($X$64="Yes")</formula>
    </cfRule>
  </conditionalFormatting>
  <conditionalFormatting sqref="A36">
    <cfRule type="cellIs" dxfId="664" priority="357" stopIfTrue="1" operator="equal">
      <formula>"&lt;--Enter Data"</formula>
    </cfRule>
    <cfRule type="cellIs" dxfId="663" priority="358" stopIfTrue="1" operator="equal">
      <formula>"Yes"</formula>
    </cfRule>
    <cfRule type="cellIs" dxfId="662" priority="359" stopIfTrue="1" operator="equal">
      <formula>"Not Needed"</formula>
    </cfRule>
    <cfRule type="cellIs" dxfId="661" priority="360" stopIfTrue="1" operator="equal">
      <formula>"No"</formula>
    </cfRule>
  </conditionalFormatting>
  <conditionalFormatting sqref="A36">
    <cfRule type="expression" dxfId="660" priority="355" stopIfTrue="1">
      <formula>($X$62="Not Virtualized")</formula>
    </cfRule>
  </conditionalFormatting>
  <conditionalFormatting sqref="A37">
    <cfRule type="expression" dxfId="659" priority="350" stopIfTrue="1">
      <formula>($X$64="Yes")</formula>
    </cfRule>
  </conditionalFormatting>
  <conditionalFormatting sqref="A37">
    <cfRule type="cellIs" dxfId="658" priority="351" stopIfTrue="1" operator="equal">
      <formula>"&lt;--Enter Data"</formula>
    </cfRule>
    <cfRule type="cellIs" dxfId="657" priority="352" stopIfTrue="1" operator="equal">
      <formula>"Yes"</formula>
    </cfRule>
    <cfRule type="cellIs" dxfId="656" priority="353" stopIfTrue="1" operator="equal">
      <formula>"Not Needed"</formula>
    </cfRule>
    <cfRule type="cellIs" dxfId="655" priority="354" stopIfTrue="1" operator="equal">
      <formula>"No"</formula>
    </cfRule>
  </conditionalFormatting>
  <conditionalFormatting sqref="A37">
    <cfRule type="expression" dxfId="654" priority="349" stopIfTrue="1">
      <formula>($X$62="Not Virtualized")</formula>
    </cfRule>
  </conditionalFormatting>
  <conditionalFormatting sqref="D36:D38">
    <cfRule type="cellIs" dxfId="653" priority="326" stopIfTrue="1" operator="equal">
      <formula>"Yes"</formula>
    </cfRule>
    <cfRule type="cellIs" dxfId="652" priority="328" stopIfTrue="1" operator="equal">
      <formula>"Not Needed"</formula>
    </cfRule>
    <cfRule type="cellIs" dxfId="651" priority="329" stopIfTrue="1" operator="equal">
      <formula>"&lt;--Enter Data"</formula>
    </cfRule>
    <cfRule type="cellIs" dxfId="650" priority="330" stopIfTrue="1" operator="equal">
      <formula>"Enter Data"</formula>
    </cfRule>
  </conditionalFormatting>
  <conditionalFormatting sqref="D36:D38">
    <cfRule type="cellIs" dxfId="649" priority="327" stopIfTrue="1" operator="equal">
      <formula>"No"</formula>
    </cfRule>
  </conditionalFormatting>
  <conditionalFormatting sqref="D36:D38">
    <cfRule type="expression" dxfId="648" priority="325" stopIfTrue="1">
      <formula>OR($S$81="Yes",$T$79="Yes")</formula>
    </cfRule>
  </conditionalFormatting>
  <conditionalFormatting sqref="F32">
    <cfRule type="cellIs" dxfId="647" priority="309" stopIfTrue="1" operator="equal">
      <formula>"Yes"</formula>
    </cfRule>
    <cfRule type="cellIs" dxfId="646" priority="310" stopIfTrue="1" operator="equal">
      <formula>"Not Needed"</formula>
    </cfRule>
    <cfRule type="cellIs" dxfId="645" priority="311" stopIfTrue="1" operator="equal">
      <formula>"&lt;--Enter Data"</formula>
    </cfRule>
    <cfRule type="cellIs" dxfId="644" priority="312" stopIfTrue="1" operator="equal">
      <formula>"Enter Data"</formula>
    </cfRule>
  </conditionalFormatting>
  <conditionalFormatting sqref="A36:A38">
    <cfRule type="cellIs" dxfId="643" priority="305" stopIfTrue="1" operator="equal">
      <formula>"Yes"</formula>
    </cfRule>
    <cfRule type="cellIs" dxfId="642" priority="306" stopIfTrue="1" operator="equal">
      <formula>"Not Needed"</formula>
    </cfRule>
    <cfRule type="cellIs" dxfId="641" priority="307" stopIfTrue="1" operator="equal">
      <formula>"&lt;--Enter Data"</formula>
    </cfRule>
    <cfRule type="cellIs" dxfId="640" priority="308" stopIfTrue="1" operator="equal">
      <formula>"Enter Data"</formula>
    </cfRule>
  </conditionalFormatting>
  <conditionalFormatting sqref="A36:A38">
    <cfRule type="expression" dxfId="639" priority="304" stopIfTrue="1">
      <formula>$S$78="Yes"</formula>
    </cfRule>
  </conditionalFormatting>
  <conditionalFormatting sqref="A36:A38">
    <cfRule type="expression" dxfId="638" priority="303" stopIfTrue="1">
      <formula>($T$79="Yes")</formula>
    </cfRule>
  </conditionalFormatting>
  <conditionalFormatting sqref="B36:B38">
    <cfRule type="cellIs" dxfId="637" priority="295" stopIfTrue="1" operator="equal">
      <formula>"Yes"</formula>
    </cfRule>
    <cfRule type="cellIs" dxfId="636" priority="296" stopIfTrue="1" operator="equal">
      <formula>"Not Needed"</formula>
    </cfRule>
    <cfRule type="cellIs" dxfId="635" priority="297" stopIfTrue="1" operator="equal">
      <formula>"&lt;--Enter Data"</formula>
    </cfRule>
    <cfRule type="cellIs" dxfId="634" priority="298" stopIfTrue="1" operator="equal">
      <formula>"Enter Data"</formula>
    </cfRule>
  </conditionalFormatting>
  <conditionalFormatting sqref="B36:B38">
    <cfRule type="expression" dxfId="633" priority="294" stopIfTrue="1">
      <formula>$S$78="Yes"</formula>
    </cfRule>
  </conditionalFormatting>
  <conditionalFormatting sqref="B36:B38">
    <cfRule type="expression" dxfId="632" priority="293" stopIfTrue="1">
      <formula>($T$79="Yes")</formula>
    </cfRule>
  </conditionalFormatting>
  <conditionalFormatting sqref="F34">
    <cfRule type="expression" dxfId="631" priority="292" stopIfTrue="1">
      <formula>($X$60="Yes")</formula>
    </cfRule>
  </conditionalFormatting>
  <conditionalFormatting sqref="F34">
    <cfRule type="expression" dxfId="630" priority="291" stopIfTrue="1">
      <formula>($X$58="Not Virtualized")</formula>
    </cfRule>
  </conditionalFormatting>
  <conditionalFormatting sqref="F34">
    <cfRule type="cellIs" dxfId="629" priority="287" stopIfTrue="1" operator="equal">
      <formula>"&lt;--Enter Data"</formula>
    </cfRule>
    <cfRule type="cellIs" dxfId="628" priority="288" stopIfTrue="1" operator="equal">
      <formula>"Yes"</formula>
    </cfRule>
    <cfRule type="cellIs" dxfId="627" priority="289" stopIfTrue="1" operator="equal">
      <formula>"Not Needed"</formula>
    </cfRule>
    <cfRule type="cellIs" dxfId="626" priority="290" stopIfTrue="1" operator="equal">
      <formula>"No"</formula>
    </cfRule>
  </conditionalFormatting>
  <conditionalFormatting sqref="F35">
    <cfRule type="expression" dxfId="625" priority="282" stopIfTrue="1">
      <formula>($X$60="Yes")</formula>
    </cfRule>
  </conditionalFormatting>
  <conditionalFormatting sqref="F35">
    <cfRule type="cellIs" dxfId="624" priority="283" stopIfTrue="1" operator="equal">
      <formula>"&lt;--Enter Data"</formula>
    </cfRule>
    <cfRule type="cellIs" dxfId="623" priority="284" stopIfTrue="1" operator="equal">
      <formula>"Yes"</formula>
    </cfRule>
    <cfRule type="cellIs" dxfId="622" priority="285" stopIfTrue="1" operator="equal">
      <formula>"Not Needed"</formula>
    </cfRule>
    <cfRule type="cellIs" dxfId="621" priority="286" stopIfTrue="1" operator="equal">
      <formula>"No"</formula>
    </cfRule>
  </conditionalFormatting>
  <conditionalFormatting sqref="F35">
    <cfRule type="expression" dxfId="620" priority="281" stopIfTrue="1">
      <formula>($X$58="Not Virtualized")</formula>
    </cfRule>
  </conditionalFormatting>
  <conditionalFormatting sqref="F36:F38">
    <cfRule type="expression" dxfId="619" priority="276" stopIfTrue="1">
      <formula>($X$60="Yes")</formula>
    </cfRule>
  </conditionalFormatting>
  <conditionalFormatting sqref="F36:F38">
    <cfRule type="cellIs" dxfId="618" priority="277" stopIfTrue="1" operator="equal">
      <formula>"&lt;--Enter Data"</formula>
    </cfRule>
    <cfRule type="cellIs" dxfId="617" priority="278" stopIfTrue="1" operator="equal">
      <formula>"Yes"</formula>
    </cfRule>
    <cfRule type="cellIs" dxfId="616" priority="279" stopIfTrue="1" operator="equal">
      <formula>"Not Needed"</formula>
    </cfRule>
    <cfRule type="cellIs" dxfId="615" priority="280" stopIfTrue="1" operator="equal">
      <formula>"No"</formula>
    </cfRule>
  </conditionalFormatting>
  <conditionalFormatting sqref="F36:F38">
    <cfRule type="expression" dxfId="614" priority="275" stopIfTrue="1">
      <formula>($X$58="Not Virtualized")</formula>
    </cfRule>
  </conditionalFormatting>
  <conditionalFormatting sqref="I34 G34">
    <cfRule type="cellIs" dxfId="613" priority="271" stopIfTrue="1" operator="equal">
      <formula>"&lt;--Enter Data"</formula>
    </cfRule>
    <cfRule type="cellIs" dxfId="612" priority="272" stopIfTrue="1" operator="equal">
      <formula>"Yes"</formula>
    </cfRule>
    <cfRule type="cellIs" dxfId="611" priority="273" stopIfTrue="1" operator="equal">
      <formula>"Not Needed"</formula>
    </cfRule>
    <cfRule type="cellIs" dxfId="610" priority="274" stopIfTrue="1" operator="equal">
      <formula>"No"</formula>
    </cfRule>
  </conditionalFormatting>
  <conditionalFormatting sqref="I34 G34">
    <cfRule type="expression" dxfId="609" priority="270" stopIfTrue="1">
      <formula>($X$64="Yes")</formula>
    </cfRule>
  </conditionalFormatting>
  <conditionalFormatting sqref="I34 G34">
    <cfRule type="expression" dxfId="608" priority="269" stopIfTrue="1">
      <formula>($X$62="Not Virtualized")</formula>
    </cfRule>
  </conditionalFormatting>
  <conditionalFormatting sqref="H34">
    <cfRule type="cellIs" dxfId="607" priority="265" stopIfTrue="1" operator="equal">
      <formula>"&lt;--Enter Data"</formula>
    </cfRule>
    <cfRule type="cellIs" dxfId="606" priority="266" stopIfTrue="1" operator="equal">
      <formula>"Yes"</formula>
    </cfRule>
    <cfRule type="cellIs" dxfId="605" priority="267" stopIfTrue="1" operator="equal">
      <formula>"Not Needed"</formula>
    </cfRule>
    <cfRule type="cellIs" dxfId="604" priority="268" stopIfTrue="1" operator="equal">
      <formula>"No"</formula>
    </cfRule>
  </conditionalFormatting>
  <conditionalFormatting sqref="H34">
    <cfRule type="expression" dxfId="603" priority="264" stopIfTrue="1">
      <formula>($X$64="Yes")</formula>
    </cfRule>
  </conditionalFormatting>
  <conditionalFormatting sqref="H34">
    <cfRule type="expression" dxfId="602" priority="263" stopIfTrue="1">
      <formula>($X$62="Not Virtualized")</formula>
    </cfRule>
  </conditionalFormatting>
  <conditionalFormatting sqref="C36:C38">
    <cfRule type="cellIs" dxfId="601" priority="254" stopIfTrue="1" operator="equal">
      <formula>"Yes"</formula>
    </cfRule>
    <cfRule type="cellIs" dxfId="600" priority="255" stopIfTrue="1" operator="equal">
      <formula>"Not Needed"</formula>
    </cfRule>
    <cfRule type="cellIs" dxfId="599" priority="256" stopIfTrue="1" operator="equal">
      <formula>"&lt;--Enter Data"</formula>
    </cfRule>
    <cfRule type="cellIs" dxfId="598" priority="257" stopIfTrue="1" operator="equal">
      <formula>"Enter Data"</formula>
    </cfRule>
  </conditionalFormatting>
  <conditionalFormatting sqref="C36:C38">
    <cfRule type="expression" dxfId="597" priority="253" stopIfTrue="1">
      <formula>$S$78="Yes"</formula>
    </cfRule>
  </conditionalFormatting>
  <conditionalFormatting sqref="C36:C38">
    <cfRule type="expression" dxfId="596" priority="252" stopIfTrue="1">
      <formula>($T$79="Yes")</formula>
    </cfRule>
  </conditionalFormatting>
  <conditionalFormatting sqref="H36:H38">
    <cfRule type="cellIs" dxfId="595" priority="248" stopIfTrue="1" operator="equal">
      <formula>"Yes"</formula>
    </cfRule>
    <cfRule type="cellIs" dxfId="594" priority="249" stopIfTrue="1" operator="equal">
      <formula>"Not Needed"</formula>
    </cfRule>
    <cfRule type="cellIs" dxfId="593" priority="250" stopIfTrue="1" operator="equal">
      <formula>"&lt;--Enter Data"</formula>
    </cfRule>
    <cfRule type="cellIs" dxfId="592" priority="251" stopIfTrue="1" operator="equal">
      <formula>"Enter Data"</formula>
    </cfRule>
  </conditionalFormatting>
  <conditionalFormatting sqref="H36:H38">
    <cfRule type="expression" dxfId="591" priority="247" stopIfTrue="1">
      <formula>$S$78="Yes"</formula>
    </cfRule>
  </conditionalFormatting>
  <conditionalFormatting sqref="H36:H38">
    <cfRule type="expression" dxfId="590" priority="246" stopIfTrue="1">
      <formula>($T$79="Yes")</formula>
    </cfRule>
  </conditionalFormatting>
  <conditionalFormatting sqref="G36:G38">
    <cfRule type="cellIs" dxfId="589" priority="242" stopIfTrue="1" operator="equal">
      <formula>"Yes"</formula>
    </cfRule>
    <cfRule type="cellIs" dxfId="588" priority="243" stopIfTrue="1" operator="equal">
      <formula>"Not Needed"</formula>
    </cfRule>
    <cfRule type="cellIs" dxfId="587" priority="244" stopIfTrue="1" operator="equal">
      <formula>"&lt;--Enter Data"</formula>
    </cfRule>
    <cfRule type="cellIs" dxfId="586" priority="245" stopIfTrue="1" operator="equal">
      <formula>"Enter Data"</formula>
    </cfRule>
  </conditionalFormatting>
  <conditionalFormatting sqref="G36:G38">
    <cfRule type="expression" dxfId="585" priority="241" stopIfTrue="1">
      <formula>$S$78="Yes"</formula>
    </cfRule>
  </conditionalFormatting>
  <conditionalFormatting sqref="G36:G38">
    <cfRule type="expression" dxfId="584" priority="240" stopIfTrue="1">
      <formula>($T$79="Yes")</formula>
    </cfRule>
  </conditionalFormatting>
  <conditionalFormatting sqref="I36:I38">
    <cfRule type="cellIs" dxfId="583" priority="235" stopIfTrue="1" operator="equal">
      <formula>"Yes"</formula>
    </cfRule>
    <cfRule type="cellIs" dxfId="582" priority="237" stopIfTrue="1" operator="equal">
      <formula>"Not Needed"</formula>
    </cfRule>
    <cfRule type="cellIs" dxfId="581" priority="238" stopIfTrue="1" operator="equal">
      <formula>"&lt;--Enter Data"</formula>
    </cfRule>
    <cfRule type="cellIs" dxfId="580" priority="239" stopIfTrue="1" operator="equal">
      <formula>"Enter Data"</formula>
    </cfRule>
  </conditionalFormatting>
  <conditionalFormatting sqref="I36:I38">
    <cfRule type="cellIs" dxfId="579" priority="236" stopIfTrue="1" operator="equal">
      <formula>"No"</formula>
    </cfRule>
  </conditionalFormatting>
  <conditionalFormatting sqref="I36:I38">
    <cfRule type="expression" dxfId="578" priority="234" stopIfTrue="1">
      <formula>OR($S$81="Yes",$T$79="Yes")</formula>
    </cfRule>
  </conditionalFormatting>
  <conditionalFormatting sqref="A39:C39 A41:B42">
    <cfRule type="cellIs" dxfId="577" priority="230" stopIfTrue="1" operator="equal">
      <formula>"&lt;--Enter Data"</formula>
    </cfRule>
    <cfRule type="cellIs" dxfId="576" priority="231" stopIfTrue="1" operator="equal">
      <formula>"Yes"</formula>
    </cfRule>
    <cfRule type="cellIs" dxfId="575" priority="232" stopIfTrue="1" operator="equal">
      <formula>"Not Needed"</formula>
    </cfRule>
    <cfRule type="cellIs" dxfId="574" priority="233" stopIfTrue="1" operator="equal">
      <formula>"No"</formula>
    </cfRule>
  </conditionalFormatting>
  <conditionalFormatting sqref="A39:C39 A41:B42">
    <cfRule type="expression" dxfId="573" priority="229" stopIfTrue="1">
      <formula>($X$64="Yes")</formula>
    </cfRule>
  </conditionalFormatting>
  <conditionalFormatting sqref="A39:C39 A41:B42">
    <cfRule type="expression" dxfId="572" priority="228" stopIfTrue="1">
      <formula>($X$62="Not Virtualized")</formula>
    </cfRule>
  </conditionalFormatting>
  <conditionalFormatting sqref="D39:J39 J41">
    <cfRule type="cellIs" dxfId="571" priority="224" stopIfTrue="1" operator="equal">
      <formula>"&lt;--Enter Data"</formula>
    </cfRule>
    <cfRule type="cellIs" dxfId="570" priority="225" stopIfTrue="1" operator="equal">
      <formula>"Yes"</formula>
    </cfRule>
    <cfRule type="cellIs" dxfId="569" priority="226" stopIfTrue="1" operator="equal">
      <formula>"Not Needed"</formula>
    </cfRule>
    <cfRule type="cellIs" dxfId="568" priority="227" stopIfTrue="1" operator="equal">
      <formula>"No"</formula>
    </cfRule>
  </conditionalFormatting>
  <conditionalFormatting sqref="D39:J39 J41">
    <cfRule type="expression" dxfId="567" priority="223" stopIfTrue="1">
      <formula>($X$64="Yes")</formula>
    </cfRule>
  </conditionalFormatting>
  <conditionalFormatting sqref="D39:J39 J41">
    <cfRule type="expression" dxfId="566" priority="222" stopIfTrue="1">
      <formula>($X$62="Not Virtualized")</formula>
    </cfRule>
  </conditionalFormatting>
  <conditionalFormatting sqref="C66:C73 H66 M66:M69 H69:H72 A53:N64">
    <cfRule type="expression" dxfId="565" priority="1441" stopIfTrue="1">
      <formula>($B$41&gt;1)</formula>
    </cfRule>
  </conditionalFormatting>
  <conditionalFormatting sqref="A43:A46">
    <cfRule type="expression" dxfId="564" priority="213" stopIfTrue="1">
      <formula>($X$60="Yes")</formula>
    </cfRule>
  </conditionalFormatting>
  <conditionalFormatting sqref="A43">
    <cfRule type="cellIs" dxfId="563" priority="214" stopIfTrue="1" operator="equal">
      <formula>"&lt;--Enter Data"</formula>
    </cfRule>
    <cfRule type="cellIs" dxfId="562" priority="215" stopIfTrue="1" operator="equal">
      <formula>"Yes"</formula>
    </cfRule>
    <cfRule type="cellIs" dxfId="561" priority="216" stopIfTrue="1" operator="equal">
      <formula>"Not Needed"</formula>
    </cfRule>
    <cfRule type="cellIs" dxfId="560" priority="217" stopIfTrue="1" operator="equal">
      <formula>"No"</formula>
    </cfRule>
  </conditionalFormatting>
  <conditionalFormatting sqref="A44:A46">
    <cfRule type="cellIs" dxfId="559" priority="218" stopIfTrue="1" operator="equal">
      <formula>"&lt;--Enter Data"</formula>
    </cfRule>
    <cfRule type="cellIs" dxfId="558" priority="219" stopIfTrue="1" operator="equal">
      <formula>"Yes"</formula>
    </cfRule>
    <cfRule type="cellIs" dxfId="557" priority="220" stopIfTrue="1" operator="equal">
      <formula>"Not Needed"</formula>
    </cfRule>
    <cfRule type="cellIs" dxfId="556" priority="221" stopIfTrue="1" operator="equal">
      <formula>"No"</formula>
    </cfRule>
  </conditionalFormatting>
  <conditionalFormatting sqref="A43:A46">
    <cfRule type="expression" dxfId="555" priority="212" stopIfTrue="1">
      <formula>($X$58="Not Virtualized")</formula>
    </cfRule>
  </conditionalFormatting>
  <conditionalFormatting sqref="D43">
    <cfRule type="cellIs" dxfId="554" priority="208" stopIfTrue="1" operator="equal">
      <formula>"&lt;--Enter Data"</formula>
    </cfRule>
    <cfRule type="cellIs" dxfId="553" priority="209" stopIfTrue="1" operator="equal">
      <formula>"Yes"</formula>
    </cfRule>
    <cfRule type="cellIs" dxfId="552" priority="210" stopIfTrue="1" operator="equal">
      <formula>"Not Needed"</formula>
    </cfRule>
    <cfRule type="cellIs" dxfId="551" priority="211" stopIfTrue="1" operator="equal">
      <formula>"No"</formula>
    </cfRule>
  </conditionalFormatting>
  <conditionalFormatting sqref="C44">
    <cfRule type="expression" dxfId="550" priority="207" stopIfTrue="1">
      <formula>OR($S$81="Yes",$T$79="Yes")</formula>
    </cfRule>
  </conditionalFormatting>
  <conditionalFormatting sqref="D43">
    <cfRule type="expression" dxfId="549" priority="206" stopIfTrue="1">
      <formula>($X$64="Yes")</formula>
    </cfRule>
  </conditionalFormatting>
  <conditionalFormatting sqref="D43">
    <cfRule type="expression" dxfId="548" priority="205" stopIfTrue="1">
      <formula>($X$62="Not Virtualized")</formula>
    </cfRule>
  </conditionalFormatting>
  <conditionalFormatting sqref="D45:D46">
    <cfRule type="cellIs" dxfId="547" priority="200" stopIfTrue="1" operator="equal">
      <formula>"Yes"</formula>
    </cfRule>
    <cfRule type="cellIs" dxfId="546" priority="202" stopIfTrue="1" operator="equal">
      <formula>"Not Needed"</formula>
    </cfRule>
    <cfRule type="cellIs" dxfId="545" priority="203" stopIfTrue="1" operator="equal">
      <formula>"&lt;--Enter Data"</formula>
    </cfRule>
    <cfRule type="cellIs" dxfId="544" priority="204" stopIfTrue="1" operator="equal">
      <formula>"Enter Data"</formula>
    </cfRule>
  </conditionalFormatting>
  <conditionalFormatting sqref="D45:D46">
    <cfRule type="cellIs" dxfId="543" priority="201" stopIfTrue="1" operator="equal">
      <formula>"No"</formula>
    </cfRule>
  </conditionalFormatting>
  <conditionalFormatting sqref="D45:D46">
    <cfRule type="expression" dxfId="542" priority="199" stopIfTrue="1">
      <formula>OR($S$81="Yes",$T$79="Yes")</formula>
    </cfRule>
  </conditionalFormatting>
  <conditionalFormatting sqref="C43">
    <cfRule type="cellIs" dxfId="541" priority="195" stopIfTrue="1" operator="equal">
      <formula>"&lt;--Enter Data"</formula>
    </cfRule>
    <cfRule type="cellIs" dxfId="540" priority="196" stopIfTrue="1" operator="equal">
      <formula>"Yes"</formula>
    </cfRule>
    <cfRule type="cellIs" dxfId="539" priority="197" stopIfTrue="1" operator="equal">
      <formula>"Not Needed"</formula>
    </cfRule>
    <cfRule type="cellIs" dxfId="538" priority="198" stopIfTrue="1" operator="equal">
      <formula>"No"</formula>
    </cfRule>
  </conditionalFormatting>
  <conditionalFormatting sqref="C43">
    <cfRule type="expression" dxfId="537" priority="194" stopIfTrue="1">
      <formula>($X$64="Yes")</formula>
    </cfRule>
  </conditionalFormatting>
  <conditionalFormatting sqref="C43">
    <cfRule type="expression" dxfId="536" priority="193" stopIfTrue="1">
      <formula>($X$62="Not Virtualized")</formula>
    </cfRule>
  </conditionalFormatting>
  <conditionalFormatting sqref="B45:B46">
    <cfRule type="cellIs" dxfId="535" priority="189" stopIfTrue="1" operator="equal">
      <formula>"Yes"</formula>
    </cfRule>
    <cfRule type="cellIs" dxfId="534" priority="190" stopIfTrue="1" operator="equal">
      <formula>"Not Needed"</formula>
    </cfRule>
    <cfRule type="cellIs" dxfId="533" priority="191" stopIfTrue="1" operator="equal">
      <formula>"&lt;--Enter Data"</formula>
    </cfRule>
    <cfRule type="cellIs" dxfId="532" priority="192" stopIfTrue="1" operator="equal">
      <formula>"Enter Data"</formula>
    </cfRule>
  </conditionalFormatting>
  <conditionalFormatting sqref="B45:B46">
    <cfRule type="expression" dxfId="531" priority="188" stopIfTrue="1">
      <formula>$S$78="Yes"</formula>
    </cfRule>
  </conditionalFormatting>
  <conditionalFormatting sqref="B45:B46">
    <cfRule type="expression" dxfId="530" priority="187" stopIfTrue="1">
      <formula>($T$79="Yes")</formula>
    </cfRule>
  </conditionalFormatting>
  <conditionalFormatting sqref="C45:C46">
    <cfRule type="cellIs" dxfId="529" priority="183" stopIfTrue="1" operator="equal">
      <formula>"Yes"</formula>
    </cfRule>
    <cfRule type="cellIs" dxfId="528" priority="184" stopIfTrue="1" operator="equal">
      <formula>"Not Needed"</formula>
    </cfRule>
    <cfRule type="cellIs" dxfId="527" priority="185" stopIfTrue="1" operator="equal">
      <formula>"&lt;--Enter Data"</formula>
    </cfRule>
    <cfRule type="cellIs" dxfId="526" priority="186" stopIfTrue="1" operator="equal">
      <formula>"Enter Data"</formula>
    </cfRule>
  </conditionalFormatting>
  <conditionalFormatting sqref="C45:C46">
    <cfRule type="expression" dxfId="525" priority="182" stopIfTrue="1">
      <formula>$S$78="Yes"</formula>
    </cfRule>
  </conditionalFormatting>
  <conditionalFormatting sqref="C45:C46">
    <cfRule type="expression" dxfId="524" priority="181" stopIfTrue="1">
      <formula>($T$79="Yes")</formula>
    </cfRule>
  </conditionalFormatting>
  <conditionalFormatting sqref="D44">
    <cfRule type="cellIs" dxfId="523" priority="176" stopIfTrue="1" operator="equal">
      <formula>"Yes"</formula>
    </cfRule>
    <cfRule type="cellIs" dxfId="522" priority="178" stopIfTrue="1" operator="equal">
      <formula>"Not Needed"</formula>
    </cfRule>
    <cfRule type="cellIs" dxfId="521" priority="179" stopIfTrue="1" operator="equal">
      <formula>"&lt;--Enter Data"</formula>
    </cfRule>
    <cfRule type="cellIs" dxfId="520" priority="180" stopIfTrue="1" operator="equal">
      <formula>"Enter Data"</formula>
    </cfRule>
  </conditionalFormatting>
  <conditionalFormatting sqref="D44">
    <cfRule type="cellIs" dxfId="519" priority="177" stopIfTrue="1" operator="equal">
      <formula>"No"</formula>
    </cfRule>
  </conditionalFormatting>
  <conditionalFormatting sqref="D44">
    <cfRule type="expression" dxfId="518" priority="175" stopIfTrue="1">
      <formula>OR($S$81="Yes",$T$79="Yes")</formula>
    </cfRule>
  </conditionalFormatting>
  <conditionalFormatting sqref="B47:D47">
    <cfRule type="cellIs" dxfId="517" priority="166" stopIfTrue="1" operator="equal">
      <formula>"Yes"</formula>
    </cfRule>
    <cfRule type="cellIs" dxfId="516" priority="167" stopIfTrue="1" operator="equal">
      <formula>"Not Needed"</formula>
    </cfRule>
    <cfRule type="cellIs" dxfId="515" priority="168" stopIfTrue="1" operator="equal">
      <formula>"&lt;--Enter Data"</formula>
    </cfRule>
    <cfRule type="cellIs" dxfId="514" priority="169" stopIfTrue="1" operator="equal">
      <formula>"Enter Data"</formula>
    </cfRule>
  </conditionalFormatting>
  <conditionalFormatting sqref="B47:D47">
    <cfRule type="expression" dxfId="513" priority="165" stopIfTrue="1">
      <formula>OR($S$81="Yes",$T$79="Yes")</formula>
    </cfRule>
  </conditionalFormatting>
  <conditionalFormatting sqref="A49:A51">
    <cfRule type="expression" dxfId="512" priority="156" stopIfTrue="1">
      <formula>($X$60="Yes")</formula>
    </cfRule>
  </conditionalFormatting>
  <conditionalFormatting sqref="A49:A51">
    <cfRule type="cellIs" dxfId="511" priority="161" stopIfTrue="1" operator="equal">
      <formula>"&lt;--Enter Data"</formula>
    </cfRule>
    <cfRule type="cellIs" dxfId="510" priority="162" stopIfTrue="1" operator="equal">
      <formula>"Yes"</formula>
    </cfRule>
    <cfRule type="cellIs" dxfId="509" priority="163" stopIfTrue="1" operator="equal">
      <formula>"Not Needed"</formula>
    </cfRule>
    <cfRule type="cellIs" dxfId="508" priority="164" stopIfTrue="1" operator="equal">
      <formula>"No"</formula>
    </cfRule>
  </conditionalFormatting>
  <conditionalFormatting sqref="A49:A51">
    <cfRule type="expression" dxfId="507" priority="155" stopIfTrue="1">
      <formula>($X$58="Not Virtualized")</formula>
    </cfRule>
  </conditionalFormatting>
  <conditionalFormatting sqref="D48 B48">
    <cfRule type="cellIs" dxfId="506" priority="151" stopIfTrue="1" operator="equal">
      <formula>"&lt;--Enter Data"</formula>
    </cfRule>
    <cfRule type="cellIs" dxfId="505" priority="152" stopIfTrue="1" operator="equal">
      <formula>"Yes"</formula>
    </cfRule>
    <cfRule type="cellIs" dxfId="504" priority="153" stopIfTrue="1" operator="equal">
      <formula>"Not Needed"</formula>
    </cfRule>
    <cfRule type="cellIs" dxfId="503" priority="154" stopIfTrue="1" operator="equal">
      <formula>"No"</formula>
    </cfRule>
  </conditionalFormatting>
  <conditionalFormatting sqref="B49">
    <cfRule type="expression" dxfId="502" priority="150" stopIfTrue="1">
      <formula>OR($S$81="Yes",$T$79="Yes")</formula>
    </cfRule>
  </conditionalFormatting>
  <conditionalFormatting sqref="D48 B48">
    <cfRule type="expression" dxfId="501" priority="149" stopIfTrue="1">
      <formula>($X$64="Yes")</formula>
    </cfRule>
  </conditionalFormatting>
  <conditionalFormatting sqref="D48 B48">
    <cfRule type="expression" dxfId="500" priority="148" stopIfTrue="1">
      <formula>($X$62="Not Virtualized")</formula>
    </cfRule>
  </conditionalFormatting>
  <conditionalFormatting sqref="D50:D51">
    <cfRule type="cellIs" dxfId="499" priority="143" stopIfTrue="1" operator="equal">
      <formula>"Yes"</formula>
    </cfRule>
    <cfRule type="cellIs" dxfId="498" priority="145" stopIfTrue="1" operator="equal">
      <formula>"Not Needed"</formula>
    </cfRule>
    <cfRule type="cellIs" dxfId="497" priority="146" stopIfTrue="1" operator="equal">
      <formula>"&lt;--Enter Data"</formula>
    </cfRule>
    <cfRule type="cellIs" dxfId="496" priority="147" stopIfTrue="1" operator="equal">
      <formula>"Enter Data"</formula>
    </cfRule>
  </conditionalFormatting>
  <conditionalFormatting sqref="D50:D51">
    <cfRule type="cellIs" dxfId="495" priority="144" stopIfTrue="1" operator="equal">
      <formula>"No"</formula>
    </cfRule>
  </conditionalFormatting>
  <conditionalFormatting sqref="D50:D51">
    <cfRule type="expression" dxfId="494" priority="142" stopIfTrue="1">
      <formula>OR($S$81="Yes",$T$79="Yes")</formula>
    </cfRule>
  </conditionalFormatting>
  <conditionalFormatting sqref="C48">
    <cfRule type="cellIs" dxfId="493" priority="138" stopIfTrue="1" operator="equal">
      <formula>"&lt;--Enter Data"</formula>
    </cfRule>
    <cfRule type="cellIs" dxfId="492" priority="139" stopIfTrue="1" operator="equal">
      <formula>"Yes"</formula>
    </cfRule>
    <cfRule type="cellIs" dxfId="491" priority="140" stopIfTrue="1" operator="equal">
      <formula>"Not Needed"</formula>
    </cfRule>
    <cfRule type="cellIs" dxfId="490" priority="141" stopIfTrue="1" operator="equal">
      <formula>"No"</formula>
    </cfRule>
  </conditionalFormatting>
  <conditionalFormatting sqref="C48">
    <cfRule type="expression" dxfId="489" priority="137" stopIfTrue="1">
      <formula>($X$64="Yes")</formula>
    </cfRule>
  </conditionalFormatting>
  <conditionalFormatting sqref="C48">
    <cfRule type="expression" dxfId="488" priority="136" stopIfTrue="1">
      <formula>($X$62="Not Virtualized")</formula>
    </cfRule>
  </conditionalFormatting>
  <conditionalFormatting sqref="B50:B51">
    <cfRule type="cellIs" dxfId="487" priority="132" stopIfTrue="1" operator="equal">
      <formula>"Yes"</formula>
    </cfRule>
    <cfRule type="cellIs" dxfId="486" priority="133" stopIfTrue="1" operator="equal">
      <formula>"Not Needed"</formula>
    </cfRule>
    <cfRule type="cellIs" dxfId="485" priority="134" stopIfTrue="1" operator="equal">
      <formula>"&lt;--Enter Data"</formula>
    </cfRule>
    <cfRule type="cellIs" dxfId="484" priority="135" stopIfTrue="1" operator="equal">
      <formula>"Enter Data"</formula>
    </cfRule>
  </conditionalFormatting>
  <conditionalFormatting sqref="B50:B51">
    <cfRule type="expression" dxfId="483" priority="131" stopIfTrue="1">
      <formula>$S$78="Yes"</formula>
    </cfRule>
  </conditionalFormatting>
  <conditionalFormatting sqref="B50:B51">
    <cfRule type="expression" dxfId="482" priority="130" stopIfTrue="1">
      <formula>($T$79="Yes")</formula>
    </cfRule>
  </conditionalFormatting>
  <conditionalFormatting sqref="C50:C51">
    <cfRule type="cellIs" dxfId="481" priority="126" stopIfTrue="1" operator="equal">
      <formula>"Yes"</formula>
    </cfRule>
    <cfRule type="cellIs" dxfId="480" priority="127" stopIfTrue="1" operator="equal">
      <formula>"Not Needed"</formula>
    </cfRule>
    <cfRule type="cellIs" dxfId="479" priority="128" stopIfTrue="1" operator="equal">
      <formula>"&lt;--Enter Data"</formula>
    </cfRule>
    <cfRule type="cellIs" dxfId="478" priority="129" stopIfTrue="1" operator="equal">
      <formula>"Enter Data"</formula>
    </cfRule>
  </conditionalFormatting>
  <conditionalFormatting sqref="C50:C51">
    <cfRule type="expression" dxfId="477" priority="125" stopIfTrue="1">
      <formula>$S$78="Yes"</formula>
    </cfRule>
  </conditionalFormatting>
  <conditionalFormatting sqref="C50:C51">
    <cfRule type="expression" dxfId="476" priority="124" stopIfTrue="1">
      <formula>($T$79="Yes")</formula>
    </cfRule>
  </conditionalFormatting>
  <conditionalFormatting sqref="D49">
    <cfRule type="cellIs" dxfId="475" priority="119" stopIfTrue="1" operator="equal">
      <formula>"Yes"</formula>
    </cfRule>
    <cfRule type="cellIs" dxfId="474" priority="121" stopIfTrue="1" operator="equal">
      <formula>"Not Needed"</formula>
    </cfRule>
    <cfRule type="cellIs" dxfId="473" priority="122" stopIfTrue="1" operator="equal">
      <formula>"&lt;--Enter Data"</formula>
    </cfRule>
    <cfRule type="cellIs" dxfId="472" priority="123" stopIfTrue="1" operator="equal">
      <formula>"Enter Data"</formula>
    </cfRule>
  </conditionalFormatting>
  <conditionalFormatting sqref="D49">
    <cfRule type="cellIs" dxfId="471" priority="120" stopIfTrue="1" operator="equal">
      <formula>"No"</formula>
    </cfRule>
  </conditionalFormatting>
  <conditionalFormatting sqref="D49">
    <cfRule type="expression" dxfId="470" priority="118" stopIfTrue="1">
      <formula>OR($S$81="Yes",$T$79="Yes")</formula>
    </cfRule>
  </conditionalFormatting>
  <conditionalFormatting sqref="F43:F46">
    <cfRule type="expression" dxfId="469" priority="109" stopIfTrue="1">
      <formula>($X$60="Yes")</formula>
    </cfRule>
  </conditionalFormatting>
  <conditionalFormatting sqref="F43">
    <cfRule type="cellIs" dxfId="468" priority="110" stopIfTrue="1" operator="equal">
      <formula>"&lt;--Enter Data"</formula>
    </cfRule>
    <cfRule type="cellIs" dxfId="467" priority="111" stopIfTrue="1" operator="equal">
      <formula>"Yes"</formula>
    </cfRule>
    <cfRule type="cellIs" dxfId="466" priority="112" stopIfTrue="1" operator="equal">
      <formula>"Not Needed"</formula>
    </cfRule>
    <cfRule type="cellIs" dxfId="465" priority="113" stopIfTrue="1" operator="equal">
      <formula>"No"</formula>
    </cfRule>
  </conditionalFormatting>
  <conditionalFormatting sqref="F44:F46">
    <cfRule type="cellIs" dxfId="464" priority="114" stopIfTrue="1" operator="equal">
      <formula>"&lt;--Enter Data"</formula>
    </cfRule>
    <cfRule type="cellIs" dxfId="463" priority="115" stopIfTrue="1" operator="equal">
      <formula>"Yes"</formula>
    </cfRule>
    <cfRule type="cellIs" dxfId="462" priority="116" stopIfTrue="1" operator="equal">
      <formula>"Not Needed"</formula>
    </cfRule>
    <cfRule type="cellIs" dxfId="461" priority="117" stopIfTrue="1" operator="equal">
      <formula>"No"</formula>
    </cfRule>
  </conditionalFormatting>
  <conditionalFormatting sqref="F43:F46">
    <cfRule type="expression" dxfId="460" priority="108" stopIfTrue="1">
      <formula>($X$58="Not Virtualized")</formula>
    </cfRule>
  </conditionalFormatting>
  <conditionalFormatting sqref="I43 G43">
    <cfRule type="cellIs" dxfId="459" priority="104" stopIfTrue="1" operator="equal">
      <formula>"&lt;--Enter Data"</formula>
    </cfRule>
    <cfRule type="cellIs" dxfId="458" priority="105" stopIfTrue="1" operator="equal">
      <formula>"Yes"</formula>
    </cfRule>
    <cfRule type="cellIs" dxfId="457" priority="106" stopIfTrue="1" operator="equal">
      <formula>"Not Needed"</formula>
    </cfRule>
    <cfRule type="cellIs" dxfId="456" priority="107" stopIfTrue="1" operator="equal">
      <formula>"No"</formula>
    </cfRule>
  </conditionalFormatting>
  <conditionalFormatting sqref="I43 G43">
    <cfRule type="expression" dxfId="455" priority="102" stopIfTrue="1">
      <formula>($X$64="Yes")</formula>
    </cfRule>
  </conditionalFormatting>
  <conditionalFormatting sqref="I43 G43">
    <cfRule type="expression" dxfId="454" priority="101" stopIfTrue="1">
      <formula>($X$62="Not Virtualized")</formula>
    </cfRule>
  </conditionalFormatting>
  <conditionalFormatting sqref="I45:I46">
    <cfRule type="cellIs" dxfId="453" priority="96" stopIfTrue="1" operator="equal">
      <formula>"Yes"</formula>
    </cfRule>
    <cfRule type="cellIs" dxfId="452" priority="98" stopIfTrue="1" operator="equal">
      <formula>"Not Needed"</formula>
    </cfRule>
    <cfRule type="cellIs" dxfId="451" priority="99" stopIfTrue="1" operator="equal">
      <formula>"&lt;--Enter Data"</formula>
    </cfRule>
    <cfRule type="cellIs" dxfId="450" priority="100" stopIfTrue="1" operator="equal">
      <formula>"Enter Data"</formula>
    </cfRule>
  </conditionalFormatting>
  <conditionalFormatting sqref="I45:I46">
    <cfRule type="cellIs" dxfId="449" priority="97" stopIfTrue="1" operator="equal">
      <formula>"No"</formula>
    </cfRule>
  </conditionalFormatting>
  <conditionalFormatting sqref="I45:I46">
    <cfRule type="expression" dxfId="448" priority="95" stopIfTrue="1">
      <formula>OR($S$81="Yes",$T$79="Yes")</formula>
    </cfRule>
  </conditionalFormatting>
  <conditionalFormatting sqref="H43">
    <cfRule type="cellIs" dxfId="447" priority="91" stopIfTrue="1" operator="equal">
      <formula>"&lt;--Enter Data"</formula>
    </cfRule>
    <cfRule type="cellIs" dxfId="446" priority="92" stopIfTrue="1" operator="equal">
      <formula>"Yes"</formula>
    </cfRule>
    <cfRule type="cellIs" dxfId="445" priority="93" stopIfTrue="1" operator="equal">
      <formula>"Not Needed"</formula>
    </cfRule>
    <cfRule type="cellIs" dxfId="444" priority="94" stopIfTrue="1" operator="equal">
      <formula>"No"</formula>
    </cfRule>
  </conditionalFormatting>
  <conditionalFormatting sqref="H43">
    <cfRule type="expression" dxfId="443" priority="90" stopIfTrue="1">
      <formula>($X$64="Yes")</formula>
    </cfRule>
  </conditionalFormatting>
  <conditionalFormatting sqref="H43">
    <cfRule type="expression" dxfId="442" priority="89" stopIfTrue="1">
      <formula>($X$62="Not Virtualized")</formula>
    </cfRule>
  </conditionalFormatting>
  <conditionalFormatting sqref="G45:G46">
    <cfRule type="cellIs" dxfId="441" priority="85" stopIfTrue="1" operator="equal">
      <formula>"Yes"</formula>
    </cfRule>
    <cfRule type="cellIs" dxfId="440" priority="86" stopIfTrue="1" operator="equal">
      <formula>"Not Needed"</formula>
    </cfRule>
    <cfRule type="cellIs" dxfId="439" priority="87" stopIfTrue="1" operator="equal">
      <formula>"&lt;--Enter Data"</formula>
    </cfRule>
    <cfRule type="cellIs" dxfId="438" priority="88" stopIfTrue="1" operator="equal">
      <formula>"Enter Data"</formula>
    </cfRule>
  </conditionalFormatting>
  <conditionalFormatting sqref="G45:G46">
    <cfRule type="expression" dxfId="437" priority="84" stopIfTrue="1">
      <formula>$S$78="Yes"</formula>
    </cfRule>
  </conditionalFormatting>
  <conditionalFormatting sqref="G45:G46">
    <cfRule type="expression" dxfId="436" priority="83" stopIfTrue="1">
      <formula>($T$79="Yes")</formula>
    </cfRule>
  </conditionalFormatting>
  <conditionalFormatting sqref="H45:H46">
    <cfRule type="cellIs" dxfId="435" priority="79" stopIfTrue="1" operator="equal">
      <formula>"Yes"</formula>
    </cfRule>
    <cfRule type="cellIs" dxfId="434" priority="80" stopIfTrue="1" operator="equal">
      <formula>"Not Needed"</formula>
    </cfRule>
    <cfRule type="cellIs" dxfId="433" priority="81" stopIfTrue="1" operator="equal">
      <formula>"&lt;--Enter Data"</formula>
    </cfRule>
    <cfRule type="cellIs" dxfId="432" priority="82" stopIfTrue="1" operator="equal">
      <formula>"Enter Data"</formula>
    </cfRule>
  </conditionalFormatting>
  <conditionalFormatting sqref="H45:H46">
    <cfRule type="expression" dxfId="431" priority="78" stopIfTrue="1">
      <formula>$S$78="Yes"</formula>
    </cfRule>
  </conditionalFormatting>
  <conditionalFormatting sqref="H45:H46">
    <cfRule type="expression" dxfId="430" priority="77" stopIfTrue="1">
      <formula>($T$79="Yes")</formula>
    </cfRule>
  </conditionalFormatting>
  <conditionalFormatting sqref="I44">
    <cfRule type="cellIs" dxfId="429" priority="72" stopIfTrue="1" operator="equal">
      <formula>"Yes"</formula>
    </cfRule>
    <cfRule type="cellIs" dxfId="428" priority="74" stopIfTrue="1" operator="equal">
      <formula>"Not Needed"</formula>
    </cfRule>
    <cfRule type="cellIs" dxfId="427" priority="75" stopIfTrue="1" operator="equal">
      <formula>"&lt;--Enter Data"</formula>
    </cfRule>
    <cfRule type="cellIs" dxfId="426" priority="76" stopIfTrue="1" operator="equal">
      <formula>"Enter Data"</formula>
    </cfRule>
  </conditionalFormatting>
  <conditionalFormatting sqref="I44">
    <cfRule type="cellIs" dxfId="425" priority="73" stopIfTrue="1" operator="equal">
      <formula>"No"</formula>
    </cfRule>
  </conditionalFormatting>
  <conditionalFormatting sqref="I44">
    <cfRule type="expression" dxfId="424" priority="71" stopIfTrue="1">
      <formula>OR($S$81="Yes",$T$79="Yes")</formula>
    </cfRule>
  </conditionalFormatting>
  <conditionalFormatting sqref="A48">
    <cfRule type="expression" dxfId="423" priority="66" stopIfTrue="1">
      <formula>($X$60="Yes")</formula>
    </cfRule>
  </conditionalFormatting>
  <conditionalFormatting sqref="A48">
    <cfRule type="cellIs" dxfId="422" priority="67" stopIfTrue="1" operator="equal">
      <formula>"&lt;--Enter Data"</formula>
    </cfRule>
    <cfRule type="cellIs" dxfId="421" priority="68" stopIfTrue="1" operator="equal">
      <formula>"Yes"</formula>
    </cfRule>
    <cfRule type="cellIs" dxfId="420" priority="69" stopIfTrue="1" operator="equal">
      <formula>"Not Needed"</formula>
    </cfRule>
    <cfRule type="cellIs" dxfId="419" priority="70" stopIfTrue="1" operator="equal">
      <formula>"No"</formula>
    </cfRule>
  </conditionalFormatting>
  <conditionalFormatting sqref="A48">
    <cfRule type="expression" dxfId="418" priority="65" stopIfTrue="1">
      <formula>($X$58="Not Virtualized")</formula>
    </cfRule>
  </conditionalFormatting>
  <conditionalFormatting sqref="C49">
    <cfRule type="cellIs" dxfId="417" priority="61" stopIfTrue="1" operator="equal">
      <formula>"Yes"</formula>
    </cfRule>
    <cfRule type="cellIs" dxfId="416" priority="62" stopIfTrue="1" operator="equal">
      <formula>"Not Needed"</formula>
    </cfRule>
    <cfRule type="cellIs" dxfId="415" priority="63" stopIfTrue="1" operator="equal">
      <formula>"&lt;--Enter Data"</formula>
    </cfRule>
    <cfRule type="cellIs" dxfId="414" priority="64" stopIfTrue="1" operator="equal">
      <formula>"Enter Data"</formula>
    </cfRule>
  </conditionalFormatting>
  <conditionalFormatting sqref="C49">
    <cfRule type="expression" dxfId="413" priority="60" stopIfTrue="1">
      <formula>$S$78="Yes"</formula>
    </cfRule>
  </conditionalFormatting>
  <conditionalFormatting sqref="C49">
    <cfRule type="expression" dxfId="412" priority="59" stopIfTrue="1">
      <formula>($T$79="Yes")</formula>
    </cfRule>
  </conditionalFormatting>
  <conditionalFormatting sqref="A21">
    <cfRule type="expression" dxfId="411" priority="58" stopIfTrue="1">
      <formula>($X$64="Yes")</formula>
    </cfRule>
  </conditionalFormatting>
  <conditionalFormatting sqref="A21">
    <cfRule type="expression" dxfId="410" priority="57" stopIfTrue="1">
      <formula>($X$62="Not Virtualized")</formula>
    </cfRule>
  </conditionalFormatting>
  <conditionalFormatting sqref="A21">
    <cfRule type="cellIs" dxfId="409" priority="53" stopIfTrue="1" operator="equal">
      <formula>"&lt;--Enter Data"</formula>
    </cfRule>
    <cfRule type="cellIs" dxfId="408" priority="54" stopIfTrue="1" operator="equal">
      <formula>"Yes"</formula>
    </cfRule>
    <cfRule type="cellIs" dxfId="407" priority="55" stopIfTrue="1" operator="equal">
      <formula>"Not Needed"</formula>
    </cfRule>
    <cfRule type="cellIs" dxfId="406" priority="56" stopIfTrue="1" operator="equal">
      <formula>"No"</formula>
    </cfRule>
  </conditionalFormatting>
  <conditionalFormatting sqref="B21">
    <cfRule type="expression" dxfId="405" priority="52" stopIfTrue="1">
      <formula>($X$64="Yes")</formula>
    </cfRule>
  </conditionalFormatting>
  <conditionalFormatting sqref="B21">
    <cfRule type="expression" dxfId="404" priority="51" stopIfTrue="1">
      <formula>($X$62="Not Virtualized")</formula>
    </cfRule>
  </conditionalFormatting>
  <conditionalFormatting sqref="B21">
    <cfRule type="cellIs" dxfId="403" priority="47" stopIfTrue="1" operator="equal">
      <formula>"&lt;--Enter Data"</formula>
    </cfRule>
    <cfRule type="cellIs" dxfId="402" priority="48" stopIfTrue="1" operator="equal">
      <formula>"Yes"</formula>
    </cfRule>
    <cfRule type="cellIs" dxfId="401" priority="49" stopIfTrue="1" operator="equal">
      <formula>"Not Needed"</formula>
    </cfRule>
    <cfRule type="cellIs" dxfId="400" priority="50" stopIfTrue="1" operator="equal">
      <formula>"No"</formula>
    </cfRule>
  </conditionalFormatting>
  <conditionalFormatting sqref="C25:D25">
    <cfRule type="expression" dxfId="399" priority="46" stopIfTrue="1">
      <formula>($X$64="Yes")</formula>
    </cfRule>
  </conditionalFormatting>
  <conditionalFormatting sqref="C25:D25">
    <cfRule type="expression" dxfId="398" priority="45" stopIfTrue="1">
      <formula>($X$62="Not Virtualized")</formula>
    </cfRule>
  </conditionalFormatting>
  <conditionalFormatting sqref="C25:D25">
    <cfRule type="cellIs" dxfId="397" priority="41" stopIfTrue="1" operator="equal">
      <formula>"&lt;--Enter Data"</formula>
    </cfRule>
    <cfRule type="cellIs" dxfId="396" priority="42" stopIfTrue="1" operator="equal">
      <formula>"Yes"</formula>
    </cfRule>
    <cfRule type="cellIs" dxfId="395" priority="43" stopIfTrue="1" operator="equal">
      <formula>"Not Needed"</formula>
    </cfRule>
    <cfRule type="cellIs" dxfId="394" priority="44" stopIfTrue="1" operator="equal">
      <formula>"No"</formula>
    </cfRule>
  </conditionalFormatting>
  <conditionalFormatting sqref="C34">
    <cfRule type="cellIs" dxfId="393" priority="37" stopIfTrue="1" operator="equal">
      <formula>"&lt;--Enter Data"</formula>
    </cfRule>
    <cfRule type="cellIs" dxfId="392" priority="38" stopIfTrue="1" operator="equal">
      <formula>"Yes"</formula>
    </cfRule>
    <cfRule type="cellIs" dxfId="391" priority="39" stopIfTrue="1" operator="equal">
      <formula>"Not Needed"</formula>
    </cfRule>
    <cfRule type="cellIs" dxfId="390" priority="40" stopIfTrue="1" operator="equal">
      <formula>"No"</formula>
    </cfRule>
  </conditionalFormatting>
  <conditionalFormatting sqref="C34">
    <cfRule type="expression" dxfId="389" priority="36" stopIfTrue="1">
      <formula>($X$64="Yes")</formula>
    </cfRule>
  </conditionalFormatting>
  <conditionalFormatting sqref="C34">
    <cfRule type="expression" dxfId="388" priority="35" stopIfTrue="1">
      <formula>($X$62="Not Virtualized")</formula>
    </cfRule>
  </conditionalFormatting>
  <conditionalFormatting sqref="H44">
    <cfRule type="cellIs" dxfId="387" priority="31" stopIfTrue="1" operator="equal">
      <formula>"Yes"</formula>
    </cfRule>
    <cfRule type="cellIs" dxfId="386" priority="32" stopIfTrue="1" operator="equal">
      <formula>"Not Needed"</formula>
    </cfRule>
    <cfRule type="cellIs" dxfId="385" priority="33" stopIfTrue="1" operator="equal">
      <formula>"&lt;--Enter Data"</formula>
    </cfRule>
    <cfRule type="cellIs" dxfId="384" priority="34" stopIfTrue="1" operator="equal">
      <formula>"Enter Data"</formula>
    </cfRule>
  </conditionalFormatting>
  <conditionalFormatting sqref="H44">
    <cfRule type="expression" dxfId="383" priority="30" stopIfTrue="1">
      <formula>$S$78="Yes"</formula>
    </cfRule>
  </conditionalFormatting>
  <conditionalFormatting sqref="H44">
    <cfRule type="expression" dxfId="382" priority="29" stopIfTrue="1">
      <formula>($T$79="Yes")</formula>
    </cfRule>
  </conditionalFormatting>
  <conditionalFormatting sqref="G44">
    <cfRule type="cellIs" dxfId="381" priority="25" stopIfTrue="1" operator="equal">
      <formula>"Yes"</formula>
    </cfRule>
    <cfRule type="cellIs" dxfId="380" priority="26" stopIfTrue="1" operator="equal">
      <formula>"Not Needed"</formula>
    </cfRule>
    <cfRule type="cellIs" dxfId="379" priority="27" stopIfTrue="1" operator="equal">
      <formula>"&lt;--Enter Data"</formula>
    </cfRule>
    <cfRule type="cellIs" dxfId="378" priority="28" stopIfTrue="1" operator="equal">
      <formula>"Enter Data"</formula>
    </cfRule>
  </conditionalFormatting>
  <conditionalFormatting sqref="G44">
    <cfRule type="expression" dxfId="377" priority="24" stopIfTrue="1">
      <formula>$S$78="Yes"</formula>
    </cfRule>
  </conditionalFormatting>
  <conditionalFormatting sqref="G44">
    <cfRule type="expression" dxfId="376" priority="23" stopIfTrue="1">
      <formula>($T$79="Yes")</formula>
    </cfRule>
  </conditionalFormatting>
  <conditionalFormatting sqref="B44">
    <cfRule type="cellIs" dxfId="375" priority="19" stopIfTrue="1" operator="equal">
      <formula>"Yes"</formula>
    </cfRule>
    <cfRule type="cellIs" dxfId="374" priority="20" stopIfTrue="1" operator="equal">
      <formula>"Not Needed"</formula>
    </cfRule>
    <cfRule type="cellIs" dxfId="373" priority="21" stopIfTrue="1" operator="equal">
      <formula>"&lt;--Enter Data"</formula>
    </cfRule>
    <cfRule type="cellIs" dxfId="372" priority="22" stopIfTrue="1" operator="equal">
      <formula>"Enter Data"</formula>
    </cfRule>
  </conditionalFormatting>
  <conditionalFormatting sqref="B44">
    <cfRule type="expression" dxfId="371" priority="18" stopIfTrue="1">
      <formula>$S$78="Yes"</formula>
    </cfRule>
  </conditionalFormatting>
  <conditionalFormatting sqref="B44">
    <cfRule type="expression" dxfId="370" priority="17" stopIfTrue="1">
      <formula>($T$79="Yes")</formula>
    </cfRule>
  </conditionalFormatting>
  <conditionalFormatting sqref="B43">
    <cfRule type="cellIs" dxfId="369" priority="13" stopIfTrue="1" operator="equal">
      <formula>"&lt;--Enter Data"</formula>
    </cfRule>
    <cfRule type="cellIs" dxfId="368" priority="14" stopIfTrue="1" operator="equal">
      <formula>"Yes"</formula>
    </cfRule>
    <cfRule type="cellIs" dxfId="367" priority="15" stopIfTrue="1" operator="equal">
      <formula>"Not Needed"</formula>
    </cfRule>
    <cfRule type="cellIs" dxfId="366" priority="16" stopIfTrue="1" operator="equal">
      <formula>"No"</formula>
    </cfRule>
  </conditionalFormatting>
  <conditionalFormatting sqref="B43">
    <cfRule type="expression" dxfId="365" priority="12" stopIfTrue="1">
      <formula>($X$64="Yes")</formula>
    </cfRule>
  </conditionalFormatting>
  <conditionalFormatting sqref="B43">
    <cfRule type="expression" dxfId="364" priority="11" stopIfTrue="1">
      <formula>($X$62="Not Virtualized")</formula>
    </cfRule>
  </conditionalFormatting>
  <conditionalFormatting sqref="F4:I19">
    <cfRule type="cellIs" dxfId="363" priority="7" stopIfTrue="1" operator="equal">
      <formula>"Yes"</formula>
    </cfRule>
    <cfRule type="cellIs" dxfId="362" priority="8" stopIfTrue="1" operator="equal">
      <formula>"Not Needed"</formula>
    </cfRule>
    <cfRule type="cellIs" dxfId="361" priority="9" stopIfTrue="1" operator="equal">
      <formula>"&lt;--Enter Data"</formula>
    </cfRule>
    <cfRule type="cellIs" dxfId="360" priority="10" stopIfTrue="1" operator="equal">
      <formula>"Enter Data"</formula>
    </cfRule>
  </conditionalFormatting>
  <conditionalFormatting sqref="J40">
    <cfRule type="cellIs" dxfId="359" priority="3" stopIfTrue="1" operator="equal">
      <formula>"&lt;--Enter Data"</formula>
    </cfRule>
    <cfRule type="cellIs" dxfId="358" priority="4" stopIfTrue="1" operator="equal">
      <formula>"Yes"</formula>
    </cfRule>
    <cfRule type="cellIs" dxfId="357" priority="5" stopIfTrue="1" operator="equal">
      <formula>"Not Needed"</formula>
    </cfRule>
    <cfRule type="cellIs" dxfId="356" priority="6" stopIfTrue="1" operator="equal">
      <formula>"No"</formula>
    </cfRule>
  </conditionalFormatting>
  <conditionalFormatting sqref="J40">
    <cfRule type="expression" dxfId="355" priority="2" stopIfTrue="1">
      <formula>($X$64="Yes")</formula>
    </cfRule>
  </conditionalFormatting>
  <conditionalFormatting sqref="J40">
    <cfRule type="expression" dxfId="354" priority="1" stopIfTrue="1">
      <formula>($X$62="Not Virtualized")</formula>
    </cfRule>
  </conditionalFormatting>
  <conditionalFormatting sqref="G67:H68 K66 F66:F68 K68">
    <cfRule type="expression" dxfId="353" priority="1442" stopIfTrue="1">
      <formula>(#REF!="Yes")</formula>
    </cfRule>
  </conditionalFormatting>
  <dataValidations count="10">
    <dataValidation type="list" allowBlank="1" showInputMessage="1" showErrorMessage="1" sqref="B5 L54 B54 L5 B22" xr:uid="{00000000-0002-0000-0600-000000000000}">
      <formula1>$T$7:$T$10</formula1>
    </dataValidation>
    <dataValidation type="list" allowBlank="1" showInputMessage="1" showErrorMessage="1" sqref="B9" xr:uid="{00000000-0002-0000-0600-000002000000}">
      <formula1>$T$72:$T$76</formula1>
    </dataValidation>
    <dataValidation type="list" allowBlank="1" showInputMessage="1" showErrorMessage="1" sqref="L15" xr:uid="{00000000-0002-0000-0600-000003000000}">
      <formula1>$T$57:$T$63</formula1>
    </dataValidation>
    <dataValidation type="list" allowBlank="1" showInputMessage="1" showErrorMessage="1" sqref="B17 B30 B62 L62" xr:uid="{00000000-0002-0000-0600-000004000000}">
      <formula1>$T$57:$T$62</formula1>
    </dataValidation>
    <dataValidation type="list" allowBlank="1" showInputMessage="1" showErrorMessage="1" sqref="B10" xr:uid="{00000000-0002-0000-0600-000005000000}">
      <formula1>$T$65:$T$69</formula1>
    </dataValidation>
    <dataValidation type="list" allowBlank="1" showInputMessage="1" showErrorMessage="1" sqref="I58:I59" xr:uid="{00000000-0002-0000-0600-000006000000}">
      <formula1>$Q$58:$Q$60</formula1>
    </dataValidation>
    <dataValidation type="list" allowBlank="1" showInputMessage="1" showErrorMessage="1" sqref="B23 L6 L55 B6 B55" xr:uid="{00000000-0002-0000-0600-000007000000}">
      <formula1>$T$11:$T$20</formula1>
    </dataValidation>
    <dataValidation type="list" allowBlank="1" showInputMessage="1" showErrorMessage="1" sqref="B7 L56 L7 B56 B24" xr:uid="{00000000-0002-0000-0600-000001000000}">
      <formula1>$T$53:$T$55</formula1>
    </dataValidation>
    <dataValidation type="list" allowBlank="1" showInputMessage="1" showErrorMessage="1" sqref="L13 B60 L60" xr:uid="{00000000-0002-0000-0600-000008000000}">
      <formula1>$T$25:$T$28</formula1>
    </dataValidation>
    <dataValidation type="list" allowBlank="1" showInputMessage="1" showErrorMessage="1" sqref="B15 B28" xr:uid="{91F9BBC4-97A1-4A54-9DFD-1EA2067152A0}">
      <formula1>$T$25:$T$26</formula1>
    </dataValidation>
  </dataValidations>
  <hyperlinks>
    <hyperlink ref="L75" r:id="rId1" location="@ServerProducts" display="Intel ARK site" xr:uid="{00000000-0004-0000-0600-000000000000}"/>
    <hyperlink ref="M75" r:id="rId2" display="AMD site" xr:uid="{00000000-0004-0000-0600-000001000000}"/>
    <hyperlink ref="N75" r:id="rId3" xr:uid="{00000000-0004-0000-0600-000002000000}"/>
  </hyperlinks>
  <pageMargins left="0.7" right="0.7" top="0.75" bottom="0.75" header="0.3" footer="0.3"/>
  <pageSetup orientation="portrait" horizontalDpi="90" verticalDpi="90" r:id="rId4"/>
  <drawing r:id="rId5"/>
  <legacyDrawing r:id="rId6"/>
  <mc:AlternateContent xmlns:mc="http://schemas.openxmlformats.org/markup-compatibility/2006">
    <mc:Choice Requires="x14">
      <controls>
        <mc:AlternateContent xmlns:mc="http://schemas.openxmlformats.org/markup-compatibility/2006">
          <mc:Choice Requires="x14">
            <control shapeId="17461" r:id="rId7" name="Button 53">
              <controlPr defaultSize="0" print="0" autoFill="0" autoPict="0" macro="[0]!Reset_pconfig_info">
                <anchor moveWithCells="1">
                  <from>
                    <xdr:col>98</xdr:col>
                    <xdr:colOff>333375</xdr:colOff>
                    <xdr:row>11</xdr:row>
                    <xdr:rowOff>85725</xdr:rowOff>
                  </from>
                  <to>
                    <xdr:col>100</xdr:col>
                    <xdr:colOff>276225</xdr:colOff>
                    <xdr:row>12</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9000000}">
          <x14:formula1>
            <xm:f>Defaults!$B$50:$B$52</xm:f>
          </x14:formula1>
          <xm:sqref>B41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N45"/>
  <sheetViews>
    <sheetView zoomScale="110" zoomScaleNormal="110" workbookViewId="0">
      <selection activeCell="E11" sqref="E11:E14"/>
    </sheetView>
  </sheetViews>
  <sheetFormatPr defaultColWidth="8.86328125" defaultRowHeight="14.25"/>
  <cols>
    <col min="1" max="1" width="68.3984375" customWidth="1"/>
    <col min="2" max="2" width="13.265625" style="126" bestFit="1" customWidth="1"/>
    <col min="3" max="3" width="9.3984375" style="126" customWidth="1"/>
    <col min="4" max="4" width="48.86328125" style="126" customWidth="1"/>
    <col min="5" max="5" width="28.86328125" style="126" customWidth="1"/>
    <col min="6" max="6" width="39.73046875" style="126" customWidth="1"/>
    <col min="7" max="7" width="33.73046875" style="126" customWidth="1"/>
    <col min="8" max="8" width="25.3984375" style="126" customWidth="1"/>
    <col min="9" max="9" width="44.73046875" customWidth="1"/>
  </cols>
  <sheetData>
    <row r="1" spans="1:14" ht="23.65" thickBot="1">
      <c r="A1" s="1461" t="s">
        <v>790</v>
      </c>
      <c r="B1" s="1462"/>
      <c r="C1" s="1462"/>
      <c r="D1" s="1462"/>
      <c r="E1" s="1462"/>
      <c r="F1" s="1462"/>
      <c r="G1" s="1462"/>
      <c r="H1" s="1463"/>
      <c r="I1" s="321"/>
      <c r="J1" s="321"/>
      <c r="K1" s="321"/>
      <c r="L1" s="322"/>
      <c r="M1" s="322"/>
      <c r="N1" s="322"/>
    </row>
    <row r="2" spans="1:14" ht="31.5" customHeight="1" thickBot="1">
      <c r="A2" s="715" t="s">
        <v>1101</v>
      </c>
      <c r="B2" s="716" t="s">
        <v>885</v>
      </c>
      <c r="C2" s="717" t="s">
        <v>33</v>
      </c>
      <c r="D2" s="718" t="s">
        <v>772</v>
      </c>
      <c r="E2" s="717" t="s">
        <v>824</v>
      </c>
      <c r="F2" s="719" t="s">
        <v>825</v>
      </c>
      <c r="G2" s="717" t="s">
        <v>899</v>
      </c>
      <c r="H2" s="718" t="s">
        <v>771</v>
      </c>
    </row>
    <row r="3" spans="1:14" ht="57.4" thickBot="1">
      <c r="A3" s="848" t="s">
        <v>770</v>
      </c>
      <c r="B3" s="720">
        <v>4</v>
      </c>
      <c r="C3" s="720">
        <v>8</v>
      </c>
      <c r="D3" s="720" t="s">
        <v>1041</v>
      </c>
      <c r="E3" s="720"/>
      <c r="F3" s="721" t="s">
        <v>1139</v>
      </c>
      <c r="G3" s="881"/>
      <c r="H3" s="882" t="s">
        <v>1141</v>
      </c>
    </row>
    <row r="4" spans="1:14" ht="57">
      <c r="A4" s="850" t="s">
        <v>1036</v>
      </c>
      <c r="B4" s="720">
        <v>4</v>
      </c>
      <c r="C4" s="720">
        <v>8</v>
      </c>
      <c r="D4" s="509"/>
      <c r="E4" s="721" t="s">
        <v>1201</v>
      </c>
      <c r="F4" s="721" t="s">
        <v>1139</v>
      </c>
      <c r="G4" s="509"/>
      <c r="H4" s="849" t="s">
        <v>1141</v>
      </c>
    </row>
    <row r="5" spans="1:14" ht="42.75">
      <c r="A5" s="850" t="s">
        <v>1044</v>
      </c>
      <c r="B5" s="720">
        <v>4</v>
      </c>
      <c r="C5" s="720">
        <v>4</v>
      </c>
      <c r="D5" s="509" t="s">
        <v>969</v>
      </c>
      <c r="E5" s="721"/>
      <c r="F5" s="721"/>
      <c r="G5" s="509"/>
      <c r="H5" s="851"/>
    </row>
    <row r="6" spans="1:14">
      <c r="A6" s="1470" t="s">
        <v>1102</v>
      </c>
      <c r="B6" s="1471"/>
      <c r="C6" s="1471"/>
      <c r="D6" s="1472"/>
      <c r="E6" s="509"/>
      <c r="F6" s="509"/>
      <c r="G6" s="509"/>
      <c r="H6" s="852"/>
    </row>
    <row r="7" spans="1:14" ht="15" customHeight="1">
      <c r="A7" s="853" t="s">
        <v>964</v>
      </c>
      <c r="B7" s="509">
        <v>4</v>
      </c>
      <c r="C7" s="509" t="s">
        <v>786</v>
      </c>
      <c r="D7" s="509" t="s">
        <v>842</v>
      </c>
      <c r="E7" s="509"/>
      <c r="F7" s="1464" t="s">
        <v>1196</v>
      </c>
      <c r="G7" s="845"/>
      <c r="H7" s="852"/>
    </row>
    <row r="8" spans="1:14" ht="66" customHeight="1">
      <c r="A8" s="854" t="s">
        <v>965</v>
      </c>
      <c r="B8" s="509"/>
      <c r="C8" s="509"/>
      <c r="D8" s="509" t="s">
        <v>1042</v>
      </c>
      <c r="E8" s="509"/>
      <c r="F8" s="1464"/>
      <c r="G8" s="845"/>
      <c r="H8" s="849" t="s">
        <v>1141</v>
      </c>
    </row>
    <row r="9" spans="1:14">
      <c r="A9" s="855" t="s">
        <v>961</v>
      </c>
      <c r="B9" s="509"/>
      <c r="C9" s="509"/>
      <c r="D9" s="509" t="s">
        <v>787</v>
      </c>
      <c r="E9" s="509"/>
      <c r="F9" s="1464"/>
      <c r="G9" s="845"/>
      <c r="H9" s="852"/>
    </row>
    <row r="10" spans="1:14">
      <c r="A10" s="856" t="s">
        <v>962</v>
      </c>
      <c r="B10" s="509"/>
      <c r="C10" s="509"/>
      <c r="D10" s="509"/>
      <c r="E10" s="509" t="s">
        <v>21</v>
      </c>
      <c r="F10" s="1464"/>
      <c r="G10" s="509"/>
      <c r="H10" s="852"/>
    </row>
    <row r="11" spans="1:14">
      <c r="A11" s="857" t="s">
        <v>963</v>
      </c>
      <c r="B11" s="722"/>
      <c r="C11" s="722"/>
      <c r="D11" s="509"/>
      <c r="E11" s="863" t="s">
        <v>1229</v>
      </c>
      <c r="F11" s="1464"/>
      <c r="G11" s="509"/>
      <c r="H11" s="852"/>
    </row>
    <row r="12" spans="1:14">
      <c r="A12" s="857" t="s">
        <v>966</v>
      </c>
      <c r="B12" s="722" t="s">
        <v>1125</v>
      </c>
      <c r="C12" s="722" t="s">
        <v>967</v>
      </c>
      <c r="D12" s="509" t="s">
        <v>969</v>
      </c>
      <c r="E12" s="863" t="s">
        <v>1229</v>
      </c>
      <c r="F12" s="1464"/>
      <c r="G12" s="509"/>
      <c r="H12" s="852"/>
    </row>
    <row r="13" spans="1:14">
      <c r="A13" s="857" t="s">
        <v>970</v>
      </c>
      <c r="B13" s="722" t="s">
        <v>1126</v>
      </c>
      <c r="C13" s="722" t="s">
        <v>968</v>
      </c>
      <c r="D13" s="509" t="s">
        <v>785</v>
      </c>
      <c r="E13" s="863" t="s">
        <v>1229</v>
      </c>
      <c r="F13" s="1464"/>
      <c r="G13" s="723"/>
      <c r="H13" s="852"/>
    </row>
    <row r="14" spans="1:14">
      <c r="A14" s="857" t="s">
        <v>971</v>
      </c>
      <c r="B14" s="722" t="s">
        <v>972</v>
      </c>
      <c r="C14" s="722" t="s">
        <v>973</v>
      </c>
      <c r="D14" s="509" t="s">
        <v>974</v>
      </c>
      <c r="E14" s="863" t="s">
        <v>1229</v>
      </c>
      <c r="F14" s="1464"/>
      <c r="G14" s="723"/>
      <c r="H14" s="852"/>
    </row>
    <row r="15" spans="1:14">
      <c r="A15" s="858"/>
      <c r="B15" s="722"/>
      <c r="C15" s="722"/>
      <c r="D15" s="509"/>
      <c r="E15" s="509"/>
      <c r="F15" s="1464"/>
      <c r="G15" s="509"/>
      <c r="H15" s="852"/>
    </row>
    <row r="16" spans="1:14" ht="77.25" customHeight="1">
      <c r="A16" s="853" t="s">
        <v>1103</v>
      </c>
      <c r="B16" s="509">
        <v>4</v>
      </c>
      <c r="C16" s="509">
        <v>4</v>
      </c>
      <c r="D16" s="509"/>
      <c r="E16" s="859" t="s">
        <v>1227</v>
      </c>
      <c r="F16" s="723" t="s">
        <v>1140</v>
      </c>
      <c r="G16" s="839" t="s">
        <v>1228</v>
      </c>
      <c r="H16" s="852"/>
    </row>
    <row r="17" spans="1:8">
      <c r="A17" s="853" t="s">
        <v>783</v>
      </c>
      <c r="B17" s="509">
        <v>4</v>
      </c>
      <c r="C17" s="509">
        <v>4</v>
      </c>
      <c r="D17" s="509"/>
      <c r="E17" s="509"/>
      <c r="F17" s="509"/>
      <c r="G17" s="509"/>
      <c r="H17" s="852"/>
    </row>
    <row r="18" spans="1:8">
      <c r="A18" s="853" t="s">
        <v>784</v>
      </c>
      <c r="B18" s="509">
        <v>4</v>
      </c>
      <c r="C18" s="509">
        <v>2</v>
      </c>
      <c r="D18" s="509" t="s">
        <v>785</v>
      </c>
      <c r="E18" s="509" t="s">
        <v>1109</v>
      </c>
      <c r="F18" s="509"/>
      <c r="G18" s="509"/>
      <c r="H18" s="852"/>
    </row>
    <row r="19" spans="1:8" hidden="1">
      <c r="A19" s="856" t="s">
        <v>823</v>
      </c>
      <c r="B19" s="509"/>
      <c r="C19" s="509"/>
      <c r="D19" s="509"/>
      <c r="E19" s="509"/>
      <c r="F19" s="509"/>
      <c r="G19" s="509"/>
      <c r="H19" s="852"/>
    </row>
    <row r="20" spans="1:8" ht="39.75" hidden="1" customHeight="1">
      <c r="A20" s="860" t="s">
        <v>821</v>
      </c>
      <c r="B20" s="724">
        <v>8</v>
      </c>
      <c r="C20" s="724">
        <v>24</v>
      </c>
      <c r="D20" s="1464" t="s">
        <v>1104</v>
      </c>
      <c r="E20" s="509"/>
      <c r="F20" s="1466" t="s">
        <v>900</v>
      </c>
      <c r="G20" s="1466" t="s">
        <v>934</v>
      </c>
      <c r="H20" s="852"/>
    </row>
    <row r="21" spans="1:8" ht="0.75" customHeight="1">
      <c r="A21" s="860" t="s">
        <v>822</v>
      </c>
      <c r="B21" s="724">
        <v>12</v>
      </c>
      <c r="C21" s="724">
        <v>24</v>
      </c>
      <c r="D21" s="1465"/>
      <c r="E21" s="509"/>
      <c r="F21" s="1466"/>
      <c r="G21" s="1466"/>
      <c r="H21" s="852"/>
    </row>
    <row r="22" spans="1:8" ht="28.5" customHeight="1">
      <c r="A22" s="853" t="s">
        <v>864</v>
      </c>
      <c r="B22" s="509">
        <v>4</v>
      </c>
      <c r="C22" s="509">
        <v>8</v>
      </c>
      <c r="D22" s="846" t="s">
        <v>865</v>
      </c>
      <c r="E22" s="846" t="s">
        <v>874</v>
      </c>
      <c r="F22" s="725" t="s">
        <v>875</v>
      </c>
      <c r="G22" s="846"/>
      <c r="H22" s="852"/>
    </row>
    <row r="23" spans="1:8">
      <c r="A23" s="853" t="s">
        <v>1045</v>
      </c>
      <c r="B23" s="509">
        <v>4</v>
      </c>
      <c r="C23" s="509">
        <v>8</v>
      </c>
      <c r="D23" s="846" t="s">
        <v>865</v>
      </c>
      <c r="E23" s="846"/>
      <c r="F23" s="725" t="s">
        <v>876</v>
      </c>
      <c r="G23" s="846"/>
      <c r="H23" s="852"/>
    </row>
    <row r="24" spans="1:8">
      <c r="A24" s="1467" t="s">
        <v>827</v>
      </c>
      <c r="B24" s="1468"/>
      <c r="C24" s="1468"/>
      <c r="D24" s="1468"/>
      <c r="E24" s="1468"/>
      <c r="F24" s="1468"/>
      <c r="G24" s="1468"/>
      <c r="H24" s="1469"/>
    </row>
    <row r="25" spans="1:8">
      <c r="A25" s="853" t="s">
        <v>883</v>
      </c>
      <c r="B25" s="1478" t="s">
        <v>1127</v>
      </c>
      <c r="C25" s="1479"/>
      <c r="D25" s="1479"/>
      <c r="E25" s="1479"/>
      <c r="F25" s="1479"/>
      <c r="G25" s="1479"/>
      <c r="H25" s="1480"/>
    </row>
    <row r="26" spans="1:8">
      <c r="A26" s="884" t="s">
        <v>1207</v>
      </c>
      <c r="B26" s="885"/>
      <c r="C26" s="886"/>
      <c r="D26" s="886"/>
      <c r="E26" s="886"/>
      <c r="F26" s="886"/>
      <c r="G26" s="886"/>
      <c r="H26" s="887"/>
    </row>
    <row r="27" spans="1:8" ht="57">
      <c r="A27" s="209" t="s">
        <v>1209</v>
      </c>
      <c r="B27" s="509">
        <v>2</v>
      </c>
      <c r="C27" s="509">
        <v>4</v>
      </c>
      <c r="D27" s="509" t="s">
        <v>931</v>
      </c>
      <c r="E27" s="859" t="s">
        <v>1211</v>
      </c>
      <c r="F27" s="723" t="s">
        <v>1215</v>
      </c>
      <c r="G27" s="723" t="s">
        <v>1216</v>
      </c>
      <c r="H27" s="888" t="s">
        <v>1141</v>
      </c>
    </row>
    <row r="28" spans="1:8" ht="57">
      <c r="A28" s="209" t="s">
        <v>1210</v>
      </c>
      <c r="B28" s="509">
        <v>2</v>
      </c>
      <c r="C28" s="509">
        <v>4</v>
      </c>
      <c r="D28" s="509" t="s">
        <v>932</v>
      </c>
      <c r="E28" s="859" t="s">
        <v>1211</v>
      </c>
      <c r="F28" s="723" t="s">
        <v>1215</v>
      </c>
      <c r="G28" s="723" t="s">
        <v>1216</v>
      </c>
      <c r="H28" s="888" t="s">
        <v>1141</v>
      </c>
    </row>
    <row r="29" spans="1:8" ht="57">
      <c r="A29" s="209" t="s">
        <v>1212</v>
      </c>
      <c r="B29" s="509">
        <v>4</v>
      </c>
      <c r="C29" s="509">
        <v>6</v>
      </c>
      <c r="D29" s="509" t="s">
        <v>933</v>
      </c>
      <c r="E29" s="859" t="s">
        <v>1211</v>
      </c>
      <c r="F29" s="723" t="s">
        <v>1215</v>
      </c>
      <c r="G29" s="723" t="s">
        <v>1216</v>
      </c>
      <c r="H29" s="888" t="s">
        <v>1141</v>
      </c>
    </row>
    <row r="30" spans="1:8" ht="57">
      <c r="A30" s="209" t="s">
        <v>1213</v>
      </c>
      <c r="B30" s="889">
        <v>4</v>
      </c>
      <c r="C30" s="889">
        <v>8</v>
      </c>
      <c r="D30" s="889" t="s">
        <v>1214</v>
      </c>
      <c r="E30" s="859" t="s">
        <v>1211</v>
      </c>
      <c r="F30" s="723" t="s">
        <v>1215</v>
      </c>
      <c r="G30" s="723" t="s">
        <v>1216</v>
      </c>
      <c r="H30" s="888" t="s">
        <v>1141</v>
      </c>
    </row>
    <row r="32" spans="1:8">
      <c r="A32" s="1467" t="s">
        <v>1208</v>
      </c>
      <c r="B32" s="1468"/>
      <c r="C32" s="1468"/>
      <c r="D32" s="1468"/>
      <c r="E32" s="1468"/>
      <c r="F32" s="1468"/>
      <c r="G32" s="1468"/>
      <c r="H32" s="1469"/>
    </row>
    <row r="33" spans="1:8" ht="14.65" thickBot="1">
      <c r="A33" s="890"/>
      <c r="B33" s="891"/>
      <c r="C33" s="891"/>
      <c r="D33" s="891"/>
      <c r="E33" s="891"/>
      <c r="F33" s="891"/>
      <c r="G33" s="891"/>
      <c r="H33" s="892"/>
    </row>
    <row r="34" spans="1:8" ht="14.65" thickBot="1">
      <c r="A34" s="894" t="s">
        <v>1218</v>
      </c>
      <c r="B34" s="895"/>
      <c r="C34" s="895"/>
      <c r="D34" s="895"/>
      <c r="E34" s="895"/>
      <c r="F34" s="895"/>
      <c r="G34" s="895"/>
      <c r="H34" s="896"/>
    </row>
    <row r="35" spans="1:8">
      <c r="A35" s="890"/>
      <c r="B35" s="891"/>
      <c r="C35" s="891"/>
      <c r="D35" s="891"/>
      <c r="E35" s="891"/>
      <c r="F35" s="891"/>
      <c r="G35" s="891"/>
      <c r="H35" s="892"/>
    </row>
    <row r="36" spans="1:8">
      <c r="A36" s="890"/>
      <c r="B36" s="891"/>
      <c r="C36" s="891"/>
      <c r="D36" s="891"/>
      <c r="E36" s="891"/>
      <c r="F36" s="891"/>
      <c r="G36" s="891"/>
      <c r="H36" s="892"/>
    </row>
    <row r="37" spans="1:8" ht="14.65" thickBot="1">
      <c r="A37" s="890"/>
      <c r="B37" s="891"/>
      <c r="C37" s="891"/>
      <c r="D37" s="891"/>
      <c r="E37" s="891"/>
      <c r="F37" s="891"/>
      <c r="G37" s="891"/>
      <c r="H37" s="892"/>
    </row>
    <row r="38" spans="1:8">
      <c r="A38" s="1473" t="s">
        <v>1060</v>
      </c>
      <c r="B38" s="1474"/>
      <c r="C38" s="1474"/>
      <c r="D38" s="1474"/>
      <c r="E38" s="1474"/>
      <c r="F38" s="1474"/>
      <c r="G38" s="1474"/>
      <c r="H38" s="1475"/>
    </row>
    <row r="39" spans="1:8">
      <c r="A39" s="1476" t="s">
        <v>1217</v>
      </c>
      <c r="B39" s="1477"/>
      <c r="C39" s="1477"/>
      <c r="D39" s="1477"/>
      <c r="E39" s="1477"/>
      <c r="F39" s="1477"/>
      <c r="G39" s="1477"/>
      <c r="H39" s="726"/>
    </row>
    <row r="40" spans="1:8">
      <c r="A40" s="1459" t="s">
        <v>927</v>
      </c>
      <c r="B40" s="1460"/>
      <c r="C40" s="1460"/>
      <c r="D40" s="1460"/>
      <c r="E40" s="1460"/>
      <c r="F40" s="1460"/>
      <c r="G40" s="883"/>
      <c r="H40" s="726"/>
    </row>
    <row r="41" spans="1:8">
      <c r="A41" s="1459" t="s">
        <v>1219</v>
      </c>
      <c r="B41" s="1460"/>
      <c r="C41" s="1460"/>
      <c r="D41" s="1460"/>
      <c r="E41" s="1460"/>
      <c r="F41" s="1460"/>
      <c r="G41" s="893"/>
      <c r="H41" s="657"/>
    </row>
    <row r="45" spans="1:8" ht="33.75" customHeight="1"/>
  </sheetData>
  <sheetProtection algorithmName="SHA-512" hashValue="tmfVMKx9/gyggT4u6rbKq8Vzqen2+pqjR1LF1XTaUdpVljHfnU951gcqEPONMQKwYW6q/ZyuLx2bTECbgyYUyQ==" saltValue="QudC+sausQhGWKigQfwJ7w==" spinCount="100000" sheet="1" objects="1" scenarios="1"/>
  <mergeCells count="13">
    <mergeCell ref="A41:F41"/>
    <mergeCell ref="A1:H1"/>
    <mergeCell ref="D20:D21"/>
    <mergeCell ref="F7:F15"/>
    <mergeCell ref="G20:G21"/>
    <mergeCell ref="F20:F21"/>
    <mergeCell ref="A40:F40"/>
    <mergeCell ref="A32:H32"/>
    <mergeCell ref="A6:D6"/>
    <mergeCell ref="A38:H38"/>
    <mergeCell ref="A39:G39"/>
    <mergeCell ref="A24:H24"/>
    <mergeCell ref="B25:H25"/>
  </mergeCells>
  <conditionalFormatting sqref="I1:O1">
    <cfRule type="cellIs" dxfId="352" priority="5" stopIfTrue="1" operator="equal">
      <formula>"Yes"</formula>
    </cfRule>
    <cfRule type="cellIs" dxfId="351" priority="6" stopIfTrue="1" operator="equal">
      <formula>"Not Needed"</formula>
    </cfRule>
    <cfRule type="cellIs" dxfId="350" priority="7" stopIfTrue="1" operator="equal">
      <formula>"&lt;--Enter Data"</formula>
    </cfRule>
    <cfRule type="cellIs" dxfId="349" priority="8" stopIfTrue="1" operator="equal">
      <formula>"Enter Data"</formula>
    </cfRule>
  </conditionalFormatting>
  <conditionalFormatting sqref="A1">
    <cfRule type="cellIs" dxfId="348" priority="1" stopIfTrue="1" operator="equal">
      <formula>"Yes"</formula>
    </cfRule>
    <cfRule type="cellIs" dxfId="347" priority="2" stopIfTrue="1" operator="equal">
      <formula>"Not Needed"</formula>
    </cfRule>
    <cfRule type="cellIs" dxfId="346" priority="3" stopIfTrue="1" operator="equal">
      <formula>"&lt;--Enter Data"</formula>
    </cfRule>
    <cfRule type="cellIs" dxfId="345" priority="4" stopIfTrue="1" operator="equal">
      <formula>"Enter Data"</formula>
    </cfRule>
  </conditionalFormatting>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V77"/>
  <sheetViews>
    <sheetView zoomScale="85" zoomScaleNormal="85" workbookViewId="0">
      <selection activeCell="A16" sqref="A16"/>
    </sheetView>
  </sheetViews>
  <sheetFormatPr defaultColWidth="9.1328125" defaultRowHeight="14.25"/>
  <cols>
    <col min="1" max="1" width="10.3984375" customWidth="1"/>
    <col min="2" max="2" width="11.3984375" customWidth="1"/>
    <col min="3" max="3" width="2.3984375" customWidth="1"/>
    <col min="4" max="4" width="4.1328125" customWidth="1"/>
    <col min="5" max="5" width="2.3984375" customWidth="1"/>
    <col min="6" max="6" width="8.1328125" customWidth="1"/>
    <col min="7" max="7" width="14" customWidth="1"/>
    <col min="9" max="9" width="2.86328125" customWidth="1"/>
    <col min="10" max="10" width="9.3984375" customWidth="1"/>
    <col min="11" max="11" width="10.1328125" style="126" customWidth="1"/>
    <col min="12" max="12" width="15.3984375" customWidth="1"/>
    <col min="13" max="13" width="10.3984375" style="126" customWidth="1"/>
    <col min="15" max="15" width="2.3984375" customWidth="1"/>
    <col min="16" max="16" width="5" customWidth="1"/>
    <col min="17" max="17" width="2.1328125" customWidth="1"/>
    <col min="18" max="18" width="32.3984375" customWidth="1"/>
    <col min="21" max="21" width="0" hidden="1" customWidth="1"/>
    <col min="22" max="22" width="11.3984375" hidden="1" customWidth="1"/>
  </cols>
  <sheetData>
    <row r="1" spans="1:22" ht="21">
      <c r="A1" s="138"/>
      <c r="B1" s="138"/>
      <c r="C1" s="1481" t="s">
        <v>467</v>
      </c>
      <c r="D1" s="1481"/>
      <c r="E1" s="1481"/>
      <c r="F1" s="1481"/>
      <c r="G1" s="1481"/>
      <c r="H1" s="1481"/>
      <c r="I1" s="1481"/>
      <c r="P1" s="73" t="s">
        <v>452</v>
      </c>
    </row>
    <row r="2" spans="1:22" ht="15.75">
      <c r="A2" s="82" t="s">
        <v>468</v>
      </c>
      <c r="P2" s="84" t="s">
        <v>328</v>
      </c>
      <c r="Q2" t="s">
        <v>329</v>
      </c>
      <c r="R2" t="s">
        <v>440</v>
      </c>
    </row>
    <row r="3" spans="1:22" ht="15.75">
      <c r="A3" s="82" t="s">
        <v>1105</v>
      </c>
      <c r="P3" s="84" t="s">
        <v>332</v>
      </c>
      <c r="Q3" t="s">
        <v>329</v>
      </c>
      <c r="R3" t="s">
        <v>441</v>
      </c>
    </row>
    <row r="4" spans="1:22" ht="15.75">
      <c r="A4" s="82" t="s">
        <v>481</v>
      </c>
      <c r="P4" s="84" t="s">
        <v>333</v>
      </c>
      <c r="Q4" t="s">
        <v>329</v>
      </c>
      <c r="R4" t="s">
        <v>447</v>
      </c>
    </row>
    <row r="5" spans="1:22" ht="15.75">
      <c r="A5" s="82" t="s">
        <v>469</v>
      </c>
      <c r="P5" s="84" t="s">
        <v>334</v>
      </c>
      <c r="Q5" t="s">
        <v>329</v>
      </c>
      <c r="R5" t="s">
        <v>446</v>
      </c>
    </row>
    <row r="6" spans="1:22" ht="15.75">
      <c r="A6" s="82" t="s">
        <v>470</v>
      </c>
      <c r="P6" s="84" t="s">
        <v>335</v>
      </c>
      <c r="Q6" t="s">
        <v>329</v>
      </c>
      <c r="R6" t="s">
        <v>451</v>
      </c>
    </row>
    <row r="7" spans="1:22" ht="15.75">
      <c r="A7" s="82"/>
      <c r="P7" s="84" t="s">
        <v>336</v>
      </c>
      <c r="Q7" t="s">
        <v>329</v>
      </c>
      <c r="R7" t="s">
        <v>443</v>
      </c>
    </row>
    <row r="8" spans="1:22">
      <c r="P8" s="84" t="s">
        <v>337</v>
      </c>
      <c r="Q8" t="s">
        <v>329</v>
      </c>
      <c r="R8" t="s">
        <v>444</v>
      </c>
    </row>
    <row r="9" spans="1:22">
      <c r="B9" s="80" t="s">
        <v>319</v>
      </c>
      <c r="G9" s="29" t="s">
        <v>320</v>
      </c>
      <c r="H9">
        <v>5</v>
      </c>
      <c r="P9" s="84" t="s">
        <v>338</v>
      </c>
      <c r="Q9" t="s">
        <v>329</v>
      </c>
      <c r="R9" t="s">
        <v>445</v>
      </c>
    </row>
    <row r="10" spans="1:22">
      <c r="G10" s="29" t="s">
        <v>321</v>
      </c>
      <c r="H10">
        <v>3</v>
      </c>
      <c r="P10" s="84" t="s">
        <v>339</v>
      </c>
      <c r="Q10" t="s">
        <v>329</v>
      </c>
      <c r="R10" t="s">
        <v>448</v>
      </c>
    </row>
    <row r="11" spans="1:22">
      <c r="G11" s="29" t="s">
        <v>322</v>
      </c>
      <c r="H11">
        <v>5</v>
      </c>
      <c r="R11" s="84" t="s">
        <v>340</v>
      </c>
    </row>
    <row r="12" spans="1:22">
      <c r="R12" s="84" t="s">
        <v>341</v>
      </c>
    </row>
    <row r="13" spans="1:22" ht="18">
      <c r="A13" s="92" t="s">
        <v>355</v>
      </c>
      <c r="R13" s="84" t="s">
        <v>342</v>
      </c>
    </row>
    <row r="14" spans="1:22">
      <c r="A14" s="84" t="s">
        <v>471</v>
      </c>
      <c r="B14" s="84"/>
      <c r="C14" s="84"/>
      <c r="D14" s="84"/>
      <c r="E14" s="84"/>
      <c r="F14" s="85" t="s">
        <v>323</v>
      </c>
      <c r="G14" s="85" t="s">
        <v>324</v>
      </c>
      <c r="H14" s="85"/>
      <c r="I14" s="85"/>
      <c r="J14" s="85"/>
      <c r="K14" s="131"/>
      <c r="L14" s="85"/>
      <c r="M14" s="127"/>
      <c r="U14" s="85" t="s">
        <v>323</v>
      </c>
      <c r="V14" s="85" t="s">
        <v>324</v>
      </c>
    </row>
    <row r="15" spans="1:22">
      <c r="A15" s="85" t="s">
        <v>449</v>
      </c>
      <c r="B15" s="84" t="s">
        <v>450</v>
      </c>
      <c r="C15" s="84"/>
      <c r="D15" s="84"/>
      <c r="E15" s="84"/>
      <c r="F15" s="85" t="s">
        <v>325</v>
      </c>
      <c r="G15" s="85" t="s">
        <v>325</v>
      </c>
      <c r="H15" s="85"/>
      <c r="I15" s="85"/>
      <c r="J15" s="86" t="s">
        <v>326</v>
      </c>
      <c r="K15" s="131"/>
      <c r="L15" s="86" t="s">
        <v>327</v>
      </c>
      <c r="M15" s="127"/>
      <c r="U15" s="85" t="s">
        <v>325</v>
      </c>
      <c r="V15" s="85" t="s">
        <v>325</v>
      </c>
    </row>
    <row r="16" spans="1:22">
      <c r="A16" s="125">
        <v>5</v>
      </c>
      <c r="B16" s="84" t="s">
        <v>328</v>
      </c>
      <c r="C16" s="84" t="s">
        <v>329</v>
      </c>
      <c r="D16" s="84">
        <f>A16</f>
        <v>5</v>
      </c>
      <c r="E16" s="84" t="s">
        <v>330</v>
      </c>
      <c r="F16" s="87">
        <f>U16*'Clinical Info'!$P$6</f>
        <v>44.298615999999996</v>
      </c>
      <c r="G16" s="87">
        <f>V16*'Clinical Info'!$P$7</f>
        <v>7352.2847999999994</v>
      </c>
      <c r="H16" s="84" t="s">
        <v>331</v>
      </c>
      <c r="I16" s="84" t="s">
        <v>329</v>
      </c>
      <c r="J16" s="87">
        <f>D16*F16</f>
        <v>221.49307999999996</v>
      </c>
      <c r="K16" s="132" t="s">
        <v>331</v>
      </c>
      <c r="L16" s="87">
        <f>D16*G16</f>
        <v>36761.423999999999</v>
      </c>
      <c r="M16" s="127" t="s">
        <v>331</v>
      </c>
      <c r="N16" s="84"/>
      <c r="U16" s="87">
        <v>36.91551333333333</v>
      </c>
      <c r="V16" s="87">
        <v>7002.1759999999995</v>
      </c>
    </row>
    <row r="17" spans="1:22">
      <c r="A17" s="125">
        <v>4</v>
      </c>
      <c r="B17" s="84" t="s">
        <v>332</v>
      </c>
      <c r="C17" s="84" t="s">
        <v>329</v>
      </c>
      <c r="D17" s="84">
        <f t="shared" ref="D17:D24" si="0">A17</f>
        <v>4</v>
      </c>
      <c r="E17" s="84" t="s">
        <v>330</v>
      </c>
      <c r="F17" s="87">
        <f>U17*'Clinical Info'!$P$6</f>
        <v>38.238295999999998</v>
      </c>
      <c r="G17" s="87">
        <f>V17*'Clinical Info'!$P$7</f>
        <v>5845.5572000000002</v>
      </c>
      <c r="H17" s="84" t="s">
        <v>331</v>
      </c>
      <c r="I17" s="84" t="s">
        <v>329</v>
      </c>
      <c r="J17" s="87">
        <f t="shared" ref="J17:J27" si="1">D17*F17</f>
        <v>152.95318399999999</v>
      </c>
      <c r="K17" s="132" t="s">
        <v>331</v>
      </c>
      <c r="L17" s="87">
        <f t="shared" ref="L17:L27" si="2">D17*G17</f>
        <v>23382.228800000001</v>
      </c>
      <c r="M17" s="127" t="s">
        <v>331</v>
      </c>
      <c r="N17" s="84"/>
      <c r="P17" s="84"/>
      <c r="Q17" s="79"/>
      <c r="U17" s="87">
        <v>31.865246666666668</v>
      </c>
      <c r="V17" s="87">
        <v>5567.1973333333335</v>
      </c>
    </row>
    <row r="18" spans="1:22">
      <c r="A18" s="125">
        <v>1</v>
      </c>
      <c r="B18" s="84" t="s">
        <v>333</v>
      </c>
      <c r="C18" s="84" t="s">
        <v>329</v>
      </c>
      <c r="D18" s="84">
        <f t="shared" si="0"/>
        <v>1</v>
      </c>
      <c r="E18" s="84" t="s">
        <v>330</v>
      </c>
      <c r="F18" s="87">
        <f>U18*'Clinical Info'!$P$6</f>
        <v>117.29161333333333</v>
      </c>
      <c r="G18" s="87">
        <f>V18*'Clinical Info'!$P$7</f>
        <v>20000.338400000001</v>
      </c>
      <c r="H18" s="84" t="s">
        <v>331</v>
      </c>
      <c r="I18" s="84" t="s">
        <v>329</v>
      </c>
      <c r="J18" s="87">
        <f t="shared" si="1"/>
        <v>117.29161333333333</v>
      </c>
      <c r="K18" s="132" t="s">
        <v>331</v>
      </c>
      <c r="L18" s="87">
        <f t="shared" si="2"/>
        <v>20000.338400000001</v>
      </c>
      <c r="M18" s="127" t="s">
        <v>331</v>
      </c>
      <c r="N18" s="84"/>
      <c r="O18" s="84"/>
      <c r="P18" s="87"/>
      <c r="Q18" s="81"/>
      <c r="U18" s="87">
        <v>97.743011111111116</v>
      </c>
      <c r="V18" s="87">
        <v>19047.941333333332</v>
      </c>
    </row>
    <row r="19" spans="1:22">
      <c r="A19" s="125">
        <v>1</v>
      </c>
      <c r="B19" s="84" t="s">
        <v>334</v>
      </c>
      <c r="C19" s="84" t="s">
        <v>329</v>
      </c>
      <c r="D19" s="84">
        <f t="shared" si="0"/>
        <v>1</v>
      </c>
      <c r="E19" s="84" t="s">
        <v>330</v>
      </c>
      <c r="F19" s="87">
        <f>U19*'Clinical Info'!$P$6</f>
        <v>25.512973333333331</v>
      </c>
      <c r="G19" s="87">
        <f>V19*'Clinical Info'!$P$7</f>
        <v>1646.5344</v>
      </c>
      <c r="H19" s="84" t="s">
        <v>331</v>
      </c>
      <c r="I19" s="84" t="s">
        <v>329</v>
      </c>
      <c r="J19" s="87">
        <f t="shared" si="1"/>
        <v>25.512973333333331</v>
      </c>
      <c r="K19" s="132" t="s">
        <v>331</v>
      </c>
      <c r="L19" s="87">
        <f t="shared" si="2"/>
        <v>1646.5344</v>
      </c>
      <c r="M19" s="127" t="s">
        <v>331</v>
      </c>
      <c r="N19" s="84"/>
      <c r="O19" s="84"/>
      <c r="U19" s="87">
        <v>21.26081111111111</v>
      </c>
      <c r="V19" s="87">
        <v>1568.1279999999999</v>
      </c>
    </row>
    <row r="20" spans="1:22">
      <c r="A20" s="125">
        <v>1</v>
      </c>
      <c r="B20" s="84" t="s">
        <v>335</v>
      </c>
      <c r="C20" s="84" t="s">
        <v>329</v>
      </c>
      <c r="D20" s="84">
        <f t="shared" si="0"/>
        <v>1</v>
      </c>
      <c r="E20" s="84" t="s">
        <v>330</v>
      </c>
      <c r="F20" s="87">
        <f>U20*'Clinical Info'!$P$6</f>
        <v>30.327679999999997</v>
      </c>
      <c r="G20" s="87">
        <f>V20*'Clinical Info'!$P$7</f>
        <v>6368.8128000000006</v>
      </c>
      <c r="H20" s="84" t="s">
        <v>331</v>
      </c>
      <c r="I20" s="84" t="s">
        <v>329</v>
      </c>
      <c r="J20" s="87">
        <f t="shared" si="1"/>
        <v>30.327679999999997</v>
      </c>
      <c r="K20" s="132" t="s">
        <v>331</v>
      </c>
      <c r="L20" s="87">
        <f t="shared" si="2"/>
        <v>6368.8128000000006</v>
      </c>
      <c r="M20" s="127" t="s">
        <v>331</v>
      </c>
      <c r="N20" s="84"/>
      <c r="U20" s="87">
        <v>25.273066666666665</v>
      </c>
      <c r="V20" s="87">
        <v>6065.5360000000001</v>
      </c>
    </row>
    <row r="21" spans="1:22">
      <c r="A21" s="125">
        <v>1</v>
      </c>
      <c r="B21" s="84" t="s">
        <v>336</v>
      </c>
      <c r="C21" s="84" t="s">
        <v>329</v>
      </c>
      <c r="D21" s="84">
        <f t="shared" si="0"/>
        <v>1</v>
      </c>
      <c r="E21" s="84" t="s">
        <v>330</v>
      </c>
      <c r="F21" s="87">
        <f>U21*'Clinical Info'!$P$6</f>
        <v>9.5005733333333335</v>
      </c>
      <c r="G21" s="87">
        <f>V21*'Clinical Info'!$P$7</f>
        <v>834.32720000000006</v>
      </c>
      <c r="H21" s="84" t="s">
        <v>331</v>
      </c>
      <c r="I21" s="84" t="s">
        <v>329</v>
      </c>
      <c r="J21" s="87">
        <f t="shared" si="1"/>
        <v>9.5005733333333335</v>
      </c>
      <c r="K21" s="132" t="s">
        <v>331</v>
      </c>
      <c r="L21" s="87">
        <f t="shared" si="2"/>
        <v>834.32720000000006</v>
      </c>
      <c r="M21" s="127" t="s">
        <v>331</v>
      </c>
      <c r="N21" s="84"/>
      <c r="U21" s="87">
        <v>7.9171444444444443</v>
      </c>
      <c r="V21" s="87">
        <v>794.59733333333338</v>
      </c>
    </row>
    <row r="22" spans="1:22">
      <c r="A22" s="125">
        <v>1</v>
      </c>
      <c r="B22" s="84" t="s">
        <v>337</v>
      </c>
      <c r="C22" s="84" t="s">
        <v>329</v>
      </c>
      <c r="D22" s="84">
        <f t="shared" si="0"/>
        <v>1</v>
      </c>
      <c r="E22" s="84" t="s">
        <v>330</v>
      </c>
      <c r="F22" s="87">
        <f>U22*'Clinical Info'!$P$6</f>
        <v>10.557599999999999</v>
      </c>
      <c r="G22" s="87">
        <f>V22*'Clinical Info'!$P$7</f>
        <v>1072.4616000000001</v>
      </c>
      <c r="H22" s="84" t="s">
        <v>331</v>
      </c>
      <c r="I22" s="84" t="s">
        <v>329</v>
      </c>
      <c r="J22" s="87">
        <f t="shared" si="1"/>
        <v>10.557599999999999</v>
      </c>
      <c r="K22" s="132" t="s">
        <v>331</v>
      </c>
      <c r="L22" s="87">
        <f t="shared" si="2"/>
        <v>1072.4616000000001</v>
      </c>
      <c r="M22" s="127" t="s">
        <v>331</v>
      </c>
      <c r="N22" s="84"/>
      <c r="U22" s="87">
        <v>8.798</v>
      </c>
      <c r="V22" s="87">
        <v>1021.3920000000001</v>
      </c>
    </row>
    <row r="23" spans="1:22">
      <c r="A23" s="125">
        <v>1</v>
      </c>
      <c r="B23" s="84" t="s">
        <v>338</v>
      </c>
      <c r="C23" s="84" t="s">
        <v>329</v>
      </c>
      <c r="D23" s="84">
        <f t="shared" si="0"/>
        <v>1</v>
      </c>
      <c r="E23" s="84" t="s">
        <v>330</v>
      </c>
      <c r="F23" s="87">
        <f>U23*'Clinical Info'!$P$6</f>
        <v>0.71604000000000001</v>
      </c>
      <c r="G23" s="87">
        <f>V23*'Clinical Info'!$P$7</f>
        <v>150.36840000000001</v>
      </c>
      <c r="H23" s="84" t="s">
        <v>331</v>
      </c>
      <c r="I23" s="84" t="s">
        <v>329</v>
      </c>
      <c r="J23" s="87">
        <f t="shared" si="1"/>
        <v>0.71604000000000001</v>
      </c>
      <c r="K23" s="132" t="s">
        <v>331</v>
      </c>
      <c r="L23" s="87">
        <f t="shared" si="2"/>
        <v>150.36840000000001</v>
      </c>
      <c r="M23" s="127" t="s">
        <v>331</v>
      </c>
      <c r="N23" s="84"/>
      <c r="U23" s="87">
        <v>0.59670000000000001</v>
      </c>
      <c r="V23" s="87">
        <v>143.208</v>
      </c>
    </row>
    <row r="24" spans="1:22">
      <c r="A24" s="125">
        <v>1</v>
      </c>
      <c r="B24" s="84" t="s">
        <v>339</v>
      </c>
      <c r="C24" s="84" t="s">
        <v>329</v>
      </c>
      <c r="D24" s="84">
        <f t="shared" si="0"/>
        <v>1</v>
      </c>
      <c r="E24" s="84" t="s">
        <v>330</v>
      </c>
      <c r="F24" s="87">
        <f>U24*'Clinical Info'!$P$6</f>
        <v>9.5005733333333335</v>
      </c>
      <c r="G24" s="87">
        <f>V24*'Clinical Info'!$P$7</f>
        <v>834.32720000000006</v>
      </c>
      <c r="H24" s="84" t="s">
        <v>331</v>
      </c>
      <c r="I24" s="84" t="s">
        <v>329</v>
      </c>
      <c r="J24" s="87">
        <f t="shared" si="1"/>
        <v>9.5005733333333335</v>
      </c>
      <c r="K24" s="132" t="s">
        <v>331</v>
      </c>
      <c r="L24" s="87">
        <f t="shared" si="2"/>
        <v>834.32720000000006</v>
      </c>
      <c r="M24" s="127" t="s">
        <v>331</v>
      </c>
      <c r="N24" s="84"/>
      <c r="U24" s="87">
        <v>7.9171444444444443</v>
      </c>
      <c r="V24" s="87">
        <v>794.59733333333338</v>
      </c>
    </row>
    <row r="25" spans="1:22">
      <c r="A25" s="84"/>
      <c r="B25" s="84" t="s">
        <v>340</v>
      </c>
      <c r="C25" s="84" t="s">
        <v>329</v>
      </c>
      <c r="D25" s="84">
        <f>A16</f>
        <v>5</v>
      </c>
      <c r="E25" s="84" t="s">
        <v>330</v>
      </c>
      <c r="F25" s="87">
        <f>U25*'Clinical Info'!$P$6</f>
        <v>76.473841145833333</v>
      </c>
      <c r="G25" s="87">
        <f>V25*'Clinical Info'!$P$7</f>
        <v>9626.887200000001</v>
      </c>
      <c r="H25" s="84" t="s">
        <v>331</v>
      </c>
      <c r="I25" s="84" t="s">
        <v>329</v>
      </c>
      <c r="J25" s="87">
        <f t="shared" si="1"/>
        <v>382.36920572916665</v>
      </c>
      <c r="K25" s="132" t="s">
        <v>331</v>
      </c>
      <c r="L25" s="87">
        <f t="shared" si="2"/>
        <v>48134.436000000002</v>
      </c>
      <c r="M25" s="127" t="s">
        <v>331</v>
      </c>
      <c r="N25" s="84"/>
      <c r="U25" s="87">
        <v>63.728200954861109</v>
      </c>
      <c r="V25" s="87">
        <v>9168.4639999999999</v>
      </c>
    </row>
    <row r="26" spans="1:22">
      <c r="A26" s="84"/>
      <c r="B26" s="84" t="s">
        <v>341</v>
      </c>
      <c r="C26" s="84" t="s">
        <v>329</v>
      </c>
      <c r="D26" s="84">
        <f>ROUND((SUM(A18:A24)/2),0)</f>
        <v>4</v>
      </c>
      <c r="E26" s="84" t="s">
        <v>330</v>
      </c>
      <c r="F26" s="87">
        <f>U26*'Clinical Info'!$P$6</f>
        <v>4.0078671874999996</v>
      </c>
      <c r="G26" s="87">
        <f>V26*'Clinical Info'!$P$7</f>
        <v>4309.2587999999996</v>
      </c>
      <c r="H26" s="84" t="s">
        <v>331</v>
      </c>
      <c r="I26" s="84" t="s">
        <v>329</v>
      </c>
      <c r="J26" s="87">
        <f t="shared" si="1"/>
        <v>16.031468749999998</v>
      </c>
      <c r="K26" s="132" t="s">
        <v>331</v>
      </c>
      <c r="L26" s="87">
        <f t="shared" si="2"/>
        <v>17237.035199999998</v>
      </c>
      <c r="M26" s="127" t="s">
        <v>331</v>
      </c>
      <c r="N26" s="84"/>
      <c r="U26" s="87">
        <v>3.3398893229166666</v>
      </c>
      <c r="V26" s="87">
        <v>4104.0559999999996</v>
      </c>
    </row>
    <row r="27" spans="1:22" ht="14.65" thickBot="1">
      <c r="A27" s="84"/>
      <c r="B27" s="88" t="s">
        <v>342</v>
      </c>
      <c r="C27" s="88" t="s">
        <v>329</v>
      </c>
      <c r="D27" s="88">
        <f>SUM(A16:A24)</f>
        <v>16</v>
      </c>
      <c r="E27" s="88" t="s">
        <v>330</v>
      </c>
      <c r="F27" s="89">
        <f>U27*'Clinical Info'!$P$6</f>
        <v>1.8421067708333332</v>
      </c>
      <c r="G27" s="89">
        <f>V27*'Clinical Info'!$P$7</f>
        <v>6684637.0500000007</v>
      </c>
      <c r="H27" s="88" t="s">
        <v>331</v>
      </c>
      <c r="I27" s="88" t="s">
        <v>329</v>
      </c>
      <c r="J27" s="89">
        <f t="shared" si="1"/>
        <v>29.473708333333331</v>
      </c>
      <c r="K27" s="133" t="s">
        <v>331</v>
      </c>
      <c r="L27" s="89">
        <f t="shared" si="2"/>
        <v>106954192.80000001</v>
      </c>
      <c r="M27" s="128" t="s">
        <v>331</v>
      </c>
      <c r="N27" s="84"/>
      <c r="U27" s="89">
        <v>1.5350889756944444</v>
      </c>
      <c r="V27" s="89">
        <v>6366321</v>
      </c>
    </row>
    <row r="28" spans="1:22" ht="14.65" thickBot="1">
      <c r="A28" s="84"/>
      <c r="B28" s="84"/>
      <c r="C28" s="84"/>
      <c r="D28" s="90" t="s">
        <v>343</v>
      </c>
      <c r="E28" s="84">
        <f>A16</f>
        <v>5</v>
      </c>
      <c r="F28" s="84" t="s">
        <v>344</v>
      </c>
      <c r="G28" s="84"/>
      <c r="H28" s="84"/>
      <c r="I28" s="84" t="s">
        <v>329</v>
      </c>
      <c r="J28" s="101">
        <f>SUM(J16:J27)</f>
        <v>1005.7277001458333</v>
      </c>
      <c r="K28" s="134" t="s">
        <v>331</v>
      </c>
      <c r="L28" s="98">
        <f>SUM(L16:L27)/1024</f>
        <v>104600.21005273439</v>
      </c>
      <c r="M28" s="129" t="s">
        <v>345</v>
      </c>
      <c r="N28" s="99" t="s">
        <v>346</v>
      </c>
    </row>
    <row r="29" spans="1:22" ht="15" thickTop="1" thickBot="1">
      <c r="A29" s="84"/>
      <c r="B29" s="84"/>
      <c r="C29" s="84"/>
      <c r="D29" s="90" t="s">
        <v>347</v>
      </c>
      <c r="E29" s="84">
        <f>A16</f>
        <v>5</v>
      </c>
      <c r="F29" s="84" t="s">
        <v>344</v>
      </c>
      <c r="G29" s="84"/>
      <c r="H29" s="84"/>
      <c r="I29" s="84" t="s">
        <v>329</v>
      </c>
      <c r="J29" s="91">
        <f>AVERAGE(J16:J27)</f>
        <v>83.810641678819437</v>
      </c>
      <c r="K29" s="135" t="s">
        <v>331</v>
      </c>
      <c r="L29" s="100">
        <f>AVERAGE(L16:L27)/1024</f>
        <v>8716.6841710611989</v>
      </c>
      <c r="M29" s="129" t="s">
        <v>345</v>
      </c>
      <c r="N29" s="99" t="s">
        <v>480</v>
      </c>
    </row>
    <row r="30" spans="1:22" ht="15" thickTop="1" thickBot="1">
      <c r="A30" s="84"/>
      <c r="B30" s="84"/>
      <c r="C30" s="84"/>
      <c r="D30" s="90"/>
      <c r="E30" s="84"/>
      <c r="F30" s="84"/>
      <c r="G30" s="84"/>
      <c r="H30" s="84"/>
      <c r="I30" s="84"/>
      <c r="J30" s="84"/>
      <c r="K30" s="127"/>
      <c r="L30" s="100">
        <f>AVERAGE(L16:L26)/1024</f>
        <v>13.886922407670454</v>
      </c>
      <c r="M30" s="129" t="s">
        <v>345</v>
      </c>
      <c r="N30" s="99" t="s">
        <v>479</v>
      </c>
    </row>
    <row r="31" spans="1:22" ht="14.65" thickTop="1">
      <c r="A31" s="84"/>
      <c r="B31" s="90" t="s">
        <v>348</v>
      </c>
      <c r="C31" s="84" t="s">
        <v>349</v>
      </c>
      <c r="D31" s="90"/>
      <c r="E31" s="84"/>
      <c r="F31" s="84"/>
      <c r="G31" s="84"/>
      <c r="H31" s="84"/>
      <c r="I31" s="84"/>
      <c r="J31" s="84"/>
      <c r="K31" s="127"/>
      <c r="L31" s="84"/>
      <c r="M31" s="127"/>
      <c r="N31" s="84"/>
    </row>
    <row r="32" spans="1:22">
      <c r="A32" s="84"/>
      <c r="B32" s="84"/>
      <c r="C32" s="84" t="s">
        <v>350</v>
      </c>
      <c r="D32" s="90"/>
      <c r="E32" s="84"/>
      <c r="F32" s="84"/>
      <c r="G32" s="84"/>
      <c r="H32" s="84"/>
      <c r="I32" s="84"/>
      <c r="J32" s="84"/>
      <c r="K32" s="127"/>
      <c r="L32" s="84"/>
      <c r="M32" s="127"/>
      <c r="N32" s="84"/>
    </row>
    <row r="34" spans="1:22" ht="18">
      <c r="A34" s="92" t="s">
        <v>356</v>
      </c>
    </row>
    <row r="35" spans="1:22" ht="15.75">
      <c r="A35" s="83"/>
    </row>
    <row r="36" spans="1:22" ht="18">
      <c r="A36" s="92" t="s">
        <v>354</v>
      </c>
    </row>
    <row r="37" spans="1:22">
      <c r="A37" s="84" t="s">
        <v>471</v>
      </c>
      <c r="B37" s="84"/>
      <c r="C37" s="84"/>
      <c r="D37" s="84"/>
      <c r="E37" s="84"/>
      <c r="F37" s="85" t="s">
        <v>323</v>
      </c>
      <c r="G37" s="85" t="s">
        <v>324</v>
      </c>
      <c r="H37" s="85"/>
      <c r="I37" s="85"/>
      <c r="J37" s="85"/>
      <c r="K37" s="131"/>
      <c r="L37" s="85"/>
      <c r="M37" s="127"/>
      <c r="N37" s="84"/>
      <c r="U37" s="85" t="s">
        <v>323</v>
      </c>
      <c r="V37" s="85" t="s">
        <v>324</v>
      </c>
    </row>
    <row r="38" spans="1:22">
      <c r="A38" s="85" t="s">
        <v>449</v>
      </c>
      <c r="B38" s="84" t="s">
        <v>450</v>
      </c>
      <c r="C38" s="84"/>
      <c r="D38" s="84"/>
      <c r="E38" s="84"/>
      <c r="F38" s="85" t="s">
        <v>325</v>
      </c>
      <c r="G38" s="85" t="s">
        <v>325</v>
      </c>
      <c r="H38" s="85"/>
      <c r="I38" s="85"/>
      <c r="J38" s="86" t="s">
        <v>326</v>
      </c>
      <c r="K38" s="131"/>
      <c r="L38" s="86" t="s">
        <v>327</v>
      </c>
      <c r="M38" s="127"/>
      <c r="N38" s="84"/>
      <c r="U38" s="85" t="s">
        <v>325</v>
      </c>
      <c r="V38" s="85" t="s">
        <v>325</v>
      </c>
    </row>
    <row r="39" spans="1:22">
      <c r="A39" s="125">
        <v>5</v>
      </c>
      <c r="B39" s="84" t="s">
        <v>328</v>
      </c>
      <c r="C39" s="84" t="s">
        <v>329</v>
      </c>
      <c r="D39" s="84">
        <f>A39</f>
        <v>5</v>
      </c>
      <c r="E39" s="84" t="s">
        <v>330</v>
      </c>
      <c r="F39" s="87">
        <f>U39*'Clinical Info'!$P$6</f>
        <v>3.9671200000000004</v>
      </c>
      <c r="G39" s="87">
        <f>V39*'Clinical Info'!$P$7</f>
        <v>1540.0980000000002</v>
      </c>
      <c r="H39" s="84" t="s">
        <v>331</v>
      </c>
      <c r="I39" s="84" t="s">
        <v>329</v>
      </c>
      <c r="J39" s="87">
        <f>D39*F39</f>
        <v>19.835600000000003</v>
      </c>
      <c r="K39" s="132" t="s">
        <v>331</v>
      </c>
      <c r="L39" s="87">
        <f>D39*G39</f>
        <v>7700.4900000000007</v>
      </c>
      <c r="M39" s="127" t="s">
        <v>331</v>
      </c>
      <c r="N39" s="84"/>
      <c r="U39" s="87">
        <v>3.3059333333333338</v>
      </c>
      <c r="V39" s="87">
        <v>1466.7600000000002</v>
      </c>
    </row>
    <row r="40" spans="1:22">
      <c r="A40" s="125">
        <v>4</v>
      </c>
      <c r="B40" s="84" t="s">
        <v>332</v>
      </c>
      <c r="C40" s="84" t="s">
        <v>329</v>
      </c>
      <c r="D40" s="84">
        <f t="shared" ref="D40:D47" si="3">A40</f>
        <v>4</v>
      </c>
      <c r="E40" s="84" t="s">
        <v>330</v>
      </c>
      <c r="F40" s="87">
        <f>U40*'Clinical Info'!$P$6</f>
        <v>130.21738666666667</v>
      </c>
      <c r="G40" s="87">
        <f>V40*'Clinical Info'!$P$7</f>
        <v>1741.4236000000001</v>
      </c>
      <c r="H40" s="84" t="s">
        <v>331</v>
      </c>
      <c r="I40" s="84" t="s">
        <v>329</v>
      </c>
      <c r="J40" s="87">
        <f t="shared" ref="J40:J50" si="4">D40*F40</f>
        <v>520.86954666666668</v>
      </c>
      <c r="K40" s="132" t="s">
        <v>331</v>
      </c>
      <c r="L40" s="87">
        <f t="shared" ref="L40:L50" si="5">D40*G40</f>
        <v>6965.6944000000003</v>
      </c>
      <c r="M40" s="127" t="s">
        <v>331</v>
      </c>
      <c r="N40" s="84"/>
      <c r="U40" s="87">
        <v>108.51448888888889</v>
      </c>
      <c r="V40" s="87">
        <v>1658.4986666666666</v>
      </c>
    </row>
    <row r="41" spans="1:22">
      <c r="A41" s="125">
        <v>1</v>
      </c>
      <c r="B41" s="84" t="s">
        <v>333</v>
      </c>
      <c r="C41" s="84" t="s">
        <v>329</v>
      </c>
      <c r="D41" s="84">
        <f t="shared" si="3"/>
        <v>1</v>
      </c>
      <c r="E41" s="84" t="s">
        <v>330</v>
      </c>
      <c r="F41" s="87">
        <f>U41*'Clinical Info'!$P$6</f>
        <v>15.782439999999999</v>
      </c>
      <c r="G41" s="87">
        <f>V41*'Clinical Info'!$P$7</f>
        <v>379.69960000000003</v>
      </c>
      <c r="H41" s="84" t="s">
        <v>331</v>
      </c>
      <c r="I41" s="84" t="s">
        <v>329</v>
      </c>
      <c r="J41" s="87">
        <f t="shared" si="4"/>
        <v>15.782439999999999</v>
      </c>
      <c r="K41" s="132" t="s">
        <v>331</v>
      </c>
      <c r="L41" s="87">
        <f t="shared" si="5"/>
        <v>379.69960000000003</v>
      </c>
      <c r="M41" s="127" t="s">
        <v>331</v>
      </c>
      <c r="N41" s="84"/>
      <c r="U41" s="87">
        <v>13.152033333333334</v>
      </c>
      <c r="V41" s="87">
        <v>361.61866666666668</v>
      </c>
    </row>
    <row r="42" spans="1:22">
      <c r="A42" s="125">
        <v>1</v>
      </c>
      <c r="B42" s="84" t="s">
        <v>334</v>
      </c>
      <c r="C42" s="84" t="s">
        <v>329</v>
      </c>
      <c r="D42" s="84">
        <f t="shared" si="3"/>
        <v>1</v>
      </c>
      <c r="E42" s="84" t="s">
        <v>330</v>
      </c>
      <c r="F42" s="87">
        <f>U42*'Clinical Info'!$P$6</f>
        <v>2.440528</v>
      </c>
      <c r="G42" s="87">
        <f>V42*'Clinical Info'!$P$7</f>
        <v>702.31560000000002</v>
      </c>
      <c r="H42" s="84" t="s">
        <v>331</v>
      </c>
      <c r="I42" s="84" t="s">
        <v>329</v>
      </c>
      <c r="J42" s="87">
        <f t="shared" si="4"/>
        <v>2.440528</v>
      </c>
      <c r="K42" s="132" t="s">
        <v>331</v>
      </c>
      <c r="L42" s="87">
        <f t="shared" si="5"/>
        <v>702.31560000000002</v>
      </c>
      <c r="M42" s="127" t="s">
        <v>331</v>
      </c>
      <c r="N42" s="84"/>
      <c r="U42" s="87">
        <v>2.0337733333333334</v>
      </c>
      <c r="V42" s="87">
        <v>668.87199999999996</v>
      </c>
    </row>
    <row r="43" spans="1:22">
      <c r="A43" s="125">
        <v>1</v>
      </c>
      <c r="B43" s="84" t="s">
        <v>335</v>
      </c>
      <c r="C43" s="84" t="s">
        <v>329</v>
      </c>
      <c r="D43" s="84">
        <f t="shared" si="3"/>
        <v>1</v>
      </c>
      <c r="E43" s="84" t="s">
        <v>330</v>
      </c>
      <c r="F43" s="87">
        <f>U43*'Clinical Info'!$P$6</f>
        <v>2.6713653333333331</v>
      </c>
      <c r="G43" s="87">
        <f>V43*'Clinical Info'!$P$7</f>
        <v>968.87</v>
      </c>
      <c r="H43" s="84" t="s">
        <v>331</v>
      </c>
      <c r="I43" s="84" t="s">
        <v>329</v>
      </c>
      <c r="J43" s="87">
        <f t="shared" si="4"/>
        <v>2.6713653333333331</v>
      </c>
      <c r="K43" s="132" t="s">
        <v>331</v>
      </c>
      <c r="L43" s="87">
        <f t="shared" si="5"/>
        <v>968.87</v>
      </c>
      <c r="M43" s="127" t="s">
        <v>331</v>
      </c>
      <c r="N43" s="84"/>
      <c r="U43" s="87">
        <v>2.2261377777777778</v>
      </c>
      <c r="V43" s="87">
        <v>922.73333333333335</v>
      </c>
    </row>
    <row r="44" spans="1:22">
      <c r="A44" s="125">
        <v>1</v>
      </c>
      <c r="B44" s="84" t="s">
        <v>336</v>
      </c>
      <c r="C44" s="84" t="s">
        <v>329</v>
      </c>
      <c r="D44" s="84">
        <f t="shared" si="3"/>
        <v>1</v>
      </c>
      <c r="E44" s="84" t="s">
        <v>330</v>
      </c>
      <c r="F44" s="87">
        <f>U44*'Clinical Info'!$P$6</f>
        <v>5.4026533333333324</v>
      </c>
      <c r="G44" s="87">
        <f>V44*'Clinical Info'!$P$7</f>
        <v>779.50599999999997</v>
      </c>
      <c r="H44" s="84" t="s">
        <v>331</v>
      </c>
      <c r="I44" s="84" t="s">
        <v>329</v>
      </c>
      <c r="J44" s="87">
        <f t="shared" si="4"/>
        <v>5.4026533333333324</v>
      </c>
      <c r="K44" s="132" t="s">
        <v>331</v>
      </c>
      <c r="L44" s="87">
        <f t="shared" si="5"/>
        <v>779.50599999999997</v>
      </c>
      <c r="M44" s="127" t="s">
        <v>331</v>
      </c>
      <c r="N44" s="84"/>
      <c r="U44" s="87">
        <v>4.5022111111111105</v>
      </c>
      <c r="V44" s="87">
        <v>742.38666666666666</v>
      </c>
    </row>
    <row r="45" spans="1:22">
      <c r="A45" s="125">
        <v>1</v>
      </c>
      <c r="B45" s="84" t="s">
        <v>337</v>
      </c>
      <c r="C45" s="84" t="s">
        <v>329</v>
      </c>
      <c r="D45" s="84">
        <f t="shared" si="3"/>
        <v>1</v>
      </c>
      <c r="E45" s="84" t="s">
        <v>330</v>
      </c>
      <c r="F45" s="87">
        <f>U45*'Clinical Info'!$P$6</f>
        <v>2.2342533333333332</v>
      </c>
      <c r="G45" s="87">
        <f>V45*'Clinical Info'!$P$7</f>
        <v>271.8492</v>
      </c>
      <c r="H45" s="84" t="s">
        <v>331</v>
      </c>
      <c r="I45" s="84" t="s">
        <v>329</v>
      </c>
      <c r="J45" s="87">
        <f t="shared" si="4"/>
        <v>2.2342533333333332</v>
      </c>
      <c r="K45" s="132" t="s">
        <v>331</v>
      </c>
      <c r="L45" s="87">
        <f t="shared" si="5"/>
        <v>271.8492</v>
      </c>
      <c r="M45" s="127" t="s">
        <v>331</v>
      </c>
      <c r="N45" s="84"/>
      <c r="U45" s="87">
        <v>1.8618777777777777</v>
      </c>
      <c r="V45" s="87">
        <v>258.904</v>
      </c>
    </row>
    <row r="46" spans="1:22">
      <c r="A46" s="125">
        <v>1</v>
      </c>
      <c r="B46" s="84" t="s">
        <v>338</v>
      </c>
      <c r="C46" s="84" t="s">
        <v>329</v>
      </c>
      <c r="D46" s="84">
        <f t="shared" si="3"/>
        <v>1</v>
      </c>
      <c r="E46" s="84" t="s">
        <v>330</v>
      </c>
      <c r="F46" s="87">
        <f>U46*'Clinical Info'!$P$6</f>
        <v>0.89807999999999988</v>
      </c>
      <c r="G46" s="87">
        <f>V46*'Clinical Info'!$P$7</f>
        <v>188.59680000000003</v>
      </c>
      <c r="H46" s="84" t="s">
        <v>331</v>
      </c>
      <c r="I46" s="84" t="s">
        <v>329</v>
      </c>
      <c r="J46" s="87">
        <f t="shared" si="4"/>
        <v>0.89807999999999988</v>
      </c>
      <c r="K46" s="132" t="s">
        <v>331</v>
      </c>
      <c r="L46" s="87">
        <f t="shared" si="5"/>
        <v>188.59680000000003</v>
      </c>
      <c r="M46" s="127" t="s">
        <v>331</v>
      </c>
      <c r="N46" s="84"/>
      <c r="U46" s="87">
        <v>0.74839999999999995</v>
      </c>
      <c r="V46" s="87">
        <v>179.61600000000001</v>
      </c>
    </row>
    <row r="47" spans="1:22">
      <c r="A47" s="125">
        <v>1</v>
      </c>
      <c r="B47" s="84" t="s">
        <v>339</v>
      </c>
      <c r="C47" s="84" t="s">
        <v>329</v>
      </c>
      <c r="D47" s="84">
        <f t="shared" si="3"/>
        <v>1</v>
      </c>
      <c r="E47" s="84" t="s">
        <v>330</v>
      </c>
      <c r="F47" s="87">
        <f>U47*'Clinical Info'!$P$6</f>
        <v>5.4026533333333324</v>
      </c>
      <c r="G47" s="87">
        <f>V47*'Clinical Info'!$P$7</f>
        <v>779.50599999999997</v>
      </c>
      <c r="H47" s="84" t="s">
        <v>331</v>
      </c>
      <c r="I47" s="84" t="s">
        <v>329</v>
      </c>
      <c r="J47" s="87">
        <f t="shared" si="4"/>
        <v>5.4026533333333324</v>
      </c>
      <c r="K47" s="132" t="s">
        <v>331</v>
      </c>
      <c r="L47" s="87">
        <f t="shared" si="5"/>
        <v>779.50599999999997</v>
      </c>
      <c r="M47" s="127" t="s">
        <v>331</v>
      </c>
      <c r="N47" s="84"/>
      <c r="U47" s="87">
        <v>4.5022111111111105</v>
      </c>
      <c r="V47" s="87">
        <v>742.38666666666666</v>
      </c>
    </row>
    <row r="48" spans="1:22">
      <c r="A48" s="84"/>
      <c r="B48" s="84" t="s">
        <v>340</v>
      </c>
      <c r="C48" s="84" t="s">
        <v>329</v>
      </c>
      <c r="D48" s="84">
        <f>A39</f>
        <v>5</v>
      </c>
      <c r="E48" s="84" t="s">
        <v>330</v>
      </c>
      <c r="F48" s="87">
        <f>U48*'Clinical Info'!$P$6</f>
        <v>66.963622395833326</v>
      </c>
      <c r="G48" s="87">
        <f>V48*'Clinical Info'!$P$7</f>
        <v>8831.9000000000015</v>
      </c>
      <c r="H48" s="84" t="s">
        <v>331</v>
      </c>
      <c r="I48" s="84" t="s">
        <v>329</v>
      </c>
      <c r="J48" s="87">
        <f t="shared" si="4"/>
        <v>334.81811197916664</v>
      </c>
      <c r="K48" s="132" t="s">
        <v>331</v>
      </c>
      <c r="L48" s="87">
        <f t="shared" si="5"/>
        <v>44159.500000000007</v>
      </c>
      <c r="M48" s="127" t="s">
        <v>331</v>
      </c>
      <c r="N48" s="84"/>
      <c r="U48" s="87">
        <v>55.803018663194443</v>
      </c>
      <c r="V48" s="87">
        <v>8411.3333333333339</v>
      </c>
    </row>
    <row r="49" spans="1:22">
      <c r="A49" s="84"/>
      <c r="B49" s="84" t="s">
        <v>341</v>
      </c>
      <c r="C49" s="84" t="s">
        <v>329</v>
      </c>
      <c r="D49" s="84">
        <f>ROUND((SUM(A41:A47)/2),0)</f>
        <v>4</v>
      </c>
      <c r="E49" s="84" t="s">
        <v>330</v>
      </c>
      <c r="F49" s="87">
        <f>U49*'Clinical Info'!$P$6</f>
        <v>3.9624192708333332</v>
      </c>
      <c r="G49" s="87">
        <f>V49*'Clinical Info'!$P$7</f>
        <v>4260.3932000000004</v>
      </c>
      <c r="H49" s="84" t="s">
        <v>331</v>
      </c>
      <c r="I49" s="84" t="s">
        <v>329</v>
      </c>
      <c r="J49" s="87">
        <f t="shared" si="4"/>
        <v>15.849677083333333</v>
      </c>
      <c r="K49" s="132" t="s">
        <v>331</v>
      </c>
      <c r="L49" s="87">
        <f t="shared" si="5"/>
        <v>17041.572800000002</v>
      </c>
      <c r="M49" s="127" t="s">
        <v>331</v>
      </c>
      <c r="N49" s="84"/>
      <c r="U49" s="87">
        <v>3.3020160590277778</v>
      </c>
      <c r="V49" s="87">
        <v>4057.5173333333337</v>
      </c>
    </row>
    <row r="50" spans="1:22" ht="14.65" thickBot="1">
      <c r="A50" s="84"/>
      <c r="B50" s="88" t="s">
        <v>342</v>
      </c>
      <c r="C50" s="88" t="s">
        <v>329</v>
      </c>
      <c r="D50" s="88">
        <f>SUM(A39:A47)</f>
        <v>16</v>
      </c>
      <c r="E50" s="88" t="s">
        <v>330</v>
      </c>
      <c r="F50" s="89">
        <f>U50*'Clinical Info'!$P$6</f>
        <v>0.31987499999999996</v>
      </c>
      <c r="G50" s="89">
        <f>V50*'Clinical Info'!$P$7</f>
        <v>1160762.4000000001</v>
      </c>
      <c r="H50" s="88" t="s">
        <v>331</v>
      </c>
      <c r="I50" s="88" t="s">
        <v>329</v>
      </c>
      <c r="J50" s="89">
        <f t="shared" si="4"/>
        <v>5.1179999999999994</v>
      </c>
      <c r="K50" s="133" t="s">
        <v>331</v>
      </c>
      <c r="L50" s="89">
        <f t="shared" si="5"/>
        <v>18572198.400000002</v>
      </c>
      <c r="M50" s="128" t="s">
        <v>331</v>
      </c>
      <c r="N50" s="84"/>
      <c r="U50" s="89">
        <v>0.26656249999999998</v>
      </c>
      <c r="V50" s="89">
        <v>1105488</v>
      </c>
    </row>
    <row r="51" spans="1:22" ht="14.65" thickBot="1">
      <c r="A51" s="84"/>
      <c r="B51" s="84"/>
      <c r="C51" s="84"/>
      <c r="D51" s="90" t="s">
        <v>343</v>
      </c>
      <c r="E51" s="84">
        <f>A39</f>
        <v>5</v>
      </c>
      <c r="F51" s="84" t="s">
        <v>344</v>
      </c>
      <c r="G51" s="84"/>
      <c r="H51" s="84"/>
      <c r="I51" s="84" t="s">
        <v>329</v>
      </c>
      <c r="J51" s="101">
        <f>SUM(J39:J50)</f>
        <v>931.32290906249989</v>
      </c>
      <c r="K51" s="134" t="s">
        <v>331</v>
      </c>
      <c r="L51" s="98">
        <f>SUM(L39:L50)/1024</f>
        <v>18214.976562890628</v>
      </c>
      <c r="M51" s="129" t="s">
        <v>345</v>
      </c>
      <c r="N51" s="99" t="s">
        <v>346</v>
      </c>
    </row>
    <row r="52" spans="1:22" ht="15" thickTop="1" thickBot="1">
      <c r="A52" s="84"/>
      <c r="B52" s="84"/>
      <c r="C52" s="84"/>
      <c r="D52" s="90" t="s">
        <v>347</v>
      </c>
      <c r="E52" s="84">
        <f>A39</f>
        <v>5</v>
      </c>
      <c r="F52" s="84" t="s">
        <v>344</v>
      </c>
      <c r="G52" s="84"/>
      <c r="H52" s="84"/>
      <c r="I52" s="84" t="s">
        <v>329</v>
      </c>
      <c r="J52" s="91">
        <f>AVERAGE(J39:J50)</f>
        <v>77.610242421874986</v>
      </c>
      <c r="K52" s="135" t="s">
        <v>331</v>
      </c>
      <c r="L52" s="100">
        <f>AVERAGE(L39:L50)/1024</f>
        <v>1517.9147135742189</v>
      </c>
      <c r="M52" s="129" t="s">
        <v>345</v>
      </c>
      <c r="N52" s="99" t="s">
        <v>480</v>
      </c>
    </row>
    <row r="53" spans="1:22" ht="15" thickTop="1" thickBot="1">
      <c r="A53" s="84"/>
      <c r="B53" s="84"/>
      <c r="C53" s="84"/>
      <c r="D53" s="90"/>
      <c r="E53" s="84"/>
      <c r="F53" s="84"/>
      <c r="G53" s="84"/>
      <c r="H53" s="84"/>
      <c r="I53" s="84"/>
      <c r="J53" s="84"/>
      <c r="K53" s="127"/>
      <c r="L53" s="100">
        <f>AVERAGE(L39:L49)/1024</f>
        <v>7.0967329900568208</v>
      </c>
      <c r="M53" s="129" t="s">
        <v>345</v>
      </c>
      <c r="N53" s="99" t="s">
        <v>479</v>
      </c>
    </row>
    <row r="54" spans="1:22" ht="14.65" thickTop="1">
      <c r="A54" s="84"/>
      <c r="B54" s="90" t="s">
        <v>348</v>
      </c>
      <c r="C54" s="84" t="s">
        <v>349</v>
      </c>
      <c r="D54" s="90"/>
      <c r="E54" s="84"/>
      <c r="F54" s="84"/>
      <c r="G54" s="84"/>
      <c r="H54" s="84"/>
      <c r="I54" s="84"/>
      <c r="J54" s="84"/>
      <c r="K54" s="127"/>
      <c r="L54" s="84"/>
      <c r="M54" s="127"/>
      <c r="N54" s="84"/>
    </row>
    <row r="55" spans="1:22">
      <c r="A55" s="84"/>
      <c r="B55" s="84"/>
      <c r="C55" s="84" t="s">
        <v>350</v>
      </c>
      <c r="D55" s="90"/>
      <c r="E55" s="84"/>
      <c r="F55" s="84"/>
      <c r="G55" s="84"/>
      <c r="H55" s="84"/>
      <c r="I55" s="84"/>
      <c r="J55" s="84"/>
      <c r="K55" s="127"/>
      <c r="L55" s="84"/>
      <c r="M55" s="127"/>
      <c r="N55" s="84"/>
    </row>
    <row r="57" spans="1:22">
      <c r="A57" s="78"/>
      <c r="B57" s="78"/>
      <c r="C57" s="78"/>
      <c r="D57" s="78"/>
      <c r="E57" s="78"/>
      <c r="F57" s="78"/>
      <c r="G57" s="78"/>
      <c r="H57" s="78"/>
      <c r="I57" s="78"/>
      <c r="J57" s="78"/>
      <c r="K57" s="130"/>
      <c r="L57" s="78"/>
      <c r="M57" s="130"/>
      <c r="N57" s="78"/>
    </row>
    <row r="58" spans="1:22" ht="18">
      <c r="A58" s="92" t="s">
        <v>351</v>
      </c>
    </row>
    <row r="59" spans="1:22">
      <c r="A59" s="84" t="s">
        <v>471</v>
      </c>
      <c r="B59" s="84"/>
      <c r="C59" s="84"/>
      <c r="D59" s="84"/>
      <c r="E59" s="84"/>
      <c r="F59" s="85" t="s">
        <v>323</v>
      </c>
      <c r="G59" s="85" t="s">
        <v>324</v>
      </c>
      <c r="H59" s="85"/>
      <c r="I59" s="85"/>
      <c r="J59" s="85"/>
      <c r="K59" s="131"/>
      <c r="L59" s="85"/>
      <c r="M59" s="127"/>
      <c r="N59" s="84"/>
      <c r="U59" s="85" t="s">
        <v>323</v>
      </c>
      <c r="V59" s="85" t="s">
        <v>324</v>
      </c>
    </row>
    <row r="60" spans="1:22">
      <c r="A60" s="85" t="s">
        <v>449</v>
      </c>
      <c r="B60" s="84" t="s">
        <v>450</v>
      </c>
      <c r="C60" s="84"/>
      <c r="D60" s="84"/>
      <c r="E60" s="84"/>
      <c r="F60" s="85" t="s">
        <v>325</v>
      </c>
      <c r="G60" s="85" t="s">
        <v>325</v>
      </c>
      <c r="H60" s="85"/>
      <c r="I60" s="85"/>
      <c r="J60" s="86" t="s">
        <v>326</v>
      </c>
      <c r="K60" s="131"/>
      <c r="L60" s="86" t="s">
        <v>327</v>
      </c>
      <c r="M60" s="127"/>
      <c r="N60" s="84"/>
      <c r="U60" s="85" t="s">
        <v>325</v>
      </c>
      <c r="V60" s="85" t="s">
        <v>325</v>
      </c>
    </row>
    <row r="61" spans="1:22">
      <c r="A61" s="125">
        <v>5</v>
      </c>
      <c r="B61" s="84" t="s">
        <v>328</v>
      </c>
      <c r="C61" s="84" t="s">
        <v>329</v>
      </c>
      <c r="D61" s="84">
        <f>A61</f>
        <v>5</v>
      </c>
      <c r="E61" s="84" t="s">
        <v>330</v>
      </c>
      <c r="F61" s="87">
        <f>U61*'Clinical Info'!$P$6</f>
        <v>19.204549333333336</v>
      </c>
      <c r="G61" s="87">
        <f>V61*'Clinical Info'!$P$7</f>
        <v>1426.6644000000001</v>
      </c>
      <c r="H61" s="84" t="s">
        <v>331</v>
      </c>
      <c r="I61" s="84" t="s">
        <v>329</v>
      </c>
      <c r="J61" s="87">
        <f>D61*F61</f>
        <v>96.022746666666677</v>
      </c>
      <c r="K61" s="132" t="s">
        <v>331</v>
      </c>
      <c r="L61" s="87">
        <f>D61*G61</f>
        <v>7133.3220000000001</v>
      </c>
      <c r="M61" s="127" t="s">
        <v>331</v>
      </c>
      <c r="N61" s="84"/>
      <c r="U61" s="87">
        <v>16.003791111111113</v>
      </c>
      <c r="V61" s="87">
        <v>1358.7280000000001</v>
      </c>
    </row>
    <row r="62" spans="1:22">
      <c r="A62" s="125">
        <v>4</v>
      </c>
      <c r="B62" s="84" t="s">
        <v>332</v>
      </c>
      <c r="C62" s="84" t="s">
        <v>329</v>
      </c>
      <c r="D62" s="84">
        <f t="shared" ref="D62:D69" si="6">A62</f>
        <v>4</v>
      </c>
      <c r="E62" s="84" t="s">
        <v>330</v>
      </c>
      <c r="F62" s="87">
        <f>U62*'Clinical Info'!$P$6</f>
        <v>9.338829333333333</v>
      </c>
      <c r="G62" s="87">
        <f>V62*'Clinical Info'!$P$7</f>
        <v>1179.3851999999999</v>
      </c>
      <c r="H62" s="84" t="s">
        <v>331</v>
      </c>
      <c r="I62" s="84" t="s">
        <v>329</v>
      </c>
      <c r="J62" s="87">
        <f t="shared" ref="J62:J72" si="7">D62*F62</f>
        <v>37.355317333333332</v>
      </c>
      <c r="K62" s="132" t="s">
        <v>331</v>
      </c>
      <c r="L62" s="87">
        <f t="shared" ref="L62:L72" si="8">D62*G62</f>
        <v>4717.5407999999998</v>
      </c>
      <c r="M62" s="127" t="s">
        <v>331</v>
      </c>
      <c r="N62" s="84"/>
      <c r="U62" s="87">
        <v>7.7823577777777775</v>
      </c>
      <c r="V62" s="87">
        <v>1123.2239999999999</v>
      </c>
    </row>
    <row r="63" spans="1:22">
      <c r="A63" s="125">
        <v>1</v>
      </c>
      <c r="B63" s="84" t="s">
        <v>333</v>
      </c>
      <c r="C63" s="84" t="s">
        <v>329</v>
      </c>
      <c r="D63" s="84">
        <f t="shared" si="6"/>
        <v>1</v>
      </c>
      <c r="E63" s="84" t="s">
        <v>330</v>
      </c>
      <c r="F63" s="87">
        <f>U63*'Clinical Info'!$P$6</f>
        <v>15.498693333333334</v>
      </c>
      <c r="G63" s="87">
        <f>V63*'Clinical Info'!$P$7</f>
        <v>1559.306</v>
      </c>
      <c r="H63" s="84" t="s">
        <v>331</v>
      </c>
      <c r="I63" s="84" t="s">
        <v>329</v>
      </c>
      <c r="J63" s="87">
        <f t="shared" si="7"/>
        <v>15.498693333333334</v>
      </c>
      <c r="K63" s="132" t="s">
        <v>331</v>
      </c>
      <c r="L63" s="87">
        <f t="shared" si="8"/>
        <v>1559.306</v>
      </c>
      <c r="M63" s="127" t="s">
        <v>331</v>
      </c>
      <c r="N63" s="84"/>
      <c r="U63" s="87">
        <v>12.915577777777779</v>
      </c>
      <c r="V63" s="87">
        <v>1485.0533333333333</v>
      </c>
    </row>
    <row r="64" spans="1:22">
      <c r="A64" s="125">
        <v>1</v>
      </c>
      <c r="B64" s="84" t="s">
        <v>334</v>
      </c>
      <c r="C64" s="84" t="s">
        <v>329</v>
      </c>
      <c r="D64" s="84">
        <f t="shared" si="6"/>
        <v>1</v>
      </c>
      <c r="E64" s="84" t="s">
        <v>330</v>
      </c>
      <c r="F64" s="87">
        <f>U64*'Clinical Info'!$P$6</f>
        <v>10.830493333333331</v>
      </c>
      <c r="G64" s="87">
        <f>V64*'Clinical Info'!$P$7</f>
        <v>678.08160000000009</v>
      </c>
      <c r="H64" s="84" t="s">
        <v>331</v>
      </c>
      <c r="I64" s="84" t="s">
        <v>329</v>
      </c>
      <c r="J64" s="87">
        <f t="shared" si="7"/>
        <v>10.830493333333331</v>
      </c>
      <c r="K64" s="132" t="s">
        <v>331</v>
      </c>
      <c r="L64" s="87">
        <f t="shared" si="8"/>
        <v>678.08160000000009</v>
      </c>
      <c r="M64" s="127" t="s">
        <v>331</v>
      </c>
      <c r="N64" s="84"/>
      <c r="U64" s="87">
        <v>9.0254111111111097</v>
      </c>
      <c r="V64" s="87">
        <v>645.79200000000003</v>
      </c>
    </row>
    <row r="65" spans="1:22">
      <c r="A65" s="125">
        <v>1</v>
      </c>
      <c r="B65" s="84" t="s">
        <v>335</v>
      </c>
      <c r="C65" s="84" t="s">
        <v>329</v>
      </c>
      <c r="D65" s="84">
        <f t="shared" si="6"/>
        <v>1</v>
      </c>
      <c r="E65" s="84" t="s">
        <v>330</v>
      </c>
      <c r="F65" s="87">
        <f>U65*'Clinical Info'!$P$6</f>
        <v>10.363973333333332</v>
      </c>
      <c r="G65" s="87">
        <f>V65*'Clinical Info'!$P$7</f>
        <v>818.24120000000005</v>
      </c>
      <c r="H65" s="84" t="s">
        <v>331</v>
      </c>
      <c r="I65" s="84" t="s">
        <v>329</v>
      </c>
      <c r="J65" s="87">
        <f t="shared" si="7"/>
        <v>10.363973333333332</v>
      </c>
      <c r="K65" s="132" t="s">
        <v>331</v>
      </c>
      <c r="L65" s="87">
        <f t="shared" si="8"/>
        <v>818.24120000000005</v>
      </c>
      <c r="M65" s="127" t="s">
        <v>331</v>
      </c>
      <c r="N65" s="84"/>
      <c r="U65" s="87">
        <v>8.6366444444444443</v>
      </c>
      <c r="V65" s="87">
        <v>779.27733333333333</v>
      </c>
    </row>
    <row r="66" spans="1:22">
      <c r="A66" s="125">
        <v>1</v>
      </c>
      <c r="B66" s="84" t="s">
        <v>336</v>
      </c>
      <c r="C66" s="84" t="s">
        <v>329</v>
      </c>
      <c r="D66" s="84">
        <f t="shared" si="6"/>
        <v>1</v>
      </c>
      <c r="E66" s="84" t="s">
        <v>330</v>
      </c>
      <c r="F66" s="87">
        <f>U66*'Clinical Info'!$P$6</f>
        <v>3.9938933333333333</v>
      </c>
      <c r="G66" s="87">
        <f>V66*'Clinical Info'!$P$7</f>
        <v>445.72920000000005</v>
      </c>
      <c r="H66" s="84" t="s">
        <v>331</v>
      </c>
      <c r="I66" s="84" t="s">
        <v>329</v>
      </c>
      <c r="J66" s="87">
        <f t="shared" si="7"/>
        <v>3.9938933333333333</v>
      </c>
      <c r="K66" s="132" t="s">
        <v>331</v>
      </c>
      <c r="L66" s="87">
        <f t="shared" si="8"/>
        <v>445.72920000000005</v>
      </c>
      <c r="M66" s="127" t="s">
        <v>331</v>
      </c>
      <c r="N66" s="84"/>
      <c r="U66" s="87">
        <v>3.3282444444444446</v>
      </c>
      <c r="V66" s="87">
        <v>424.50400000000002</v>
      </c>
    </row>
    <row r="67" spans="1:22">
      <c r="A67" s="125">
        <v>1</v>
      </c>
      <c r="B67" s="84" t="s">
        <v>337</v>
      </c>
      <c r="C67" s="84" t="s">
        <v>329</v>
      </c>
      <c r="D67" s="84">
        <f t="shared" si="6"/>
        <v>1</v>
      </c>
      <c r="E67" s="84" t="s">
        <v>330</v>
      </c>
      <c r="F67" s="87">
        <f>U67*'Clinical Info'!$P$6</f>
        <v>2.2851866666666667</v>
      </c>
      <c r="G67" s="87">
        <f>V67*'Clinical Info'!$P$7</f>
        <v>180.22760000000002</v>
      </c>
      <c r="H67" s="84" t="s">
        <v>331</v>
      </c>
      <c r="I67" s="84" t="s">
        <v>329</v>
      </c>
      <c r="J67" s="87">
        <f t="shared" si="7"/>
        <v>2.2851866666666667</v>
      </c>
      <c r="K67" s="132" t="s">
        <v>331</v>
      </c>
      <c r="L67" s="87">
        <f t="shared" si="8"/>
        <v>180.22760000000002</v>
      </c>
      <c r="M67" s="127" t="s">
        <v>331</v>
      </c>
      <c r="N67" s="84"/>
      <c r="U67" s="87">
        <v>1.9043222222222222</v>
      </c>
      <c r="V67" s="87">
        <v>171.64533333333335</v>
      </c>
    </row>
    <row r="68" spans="1:22">
      <c r="A68" s="125">
        <v>1</v>
      </c>
      <c r="B68" s="84" t="s">
        <v>338</v>
      </c>
      <c r="C68" s="84" t="s">
        <v>329</v>
      </c>
      <c r="D68" s="84">
        <f t="shared" si="6"/>
        <v>1</v>
      </c>
      <c r="E68" s="84" t="s">
        <v>330</v>
      </c>
      <c r="F68" s="87">
        <f>U68*'Clinical Info'!$P$6</f>
        <v>1.0606666666666666</v>
      </c>
      <c r="G68" s="87">
        <f>V68*'Clinical Info'!$P$7</f>
        <v>222.74000000000004</v>
      </c>
      <c r="H68" s="84" t="s">
        <v>331</v>
      </c>
      <c r="I68" s="84" t="s">
        <v>329</v>
      </c>
      <c r="J68" s="87">
        <f t="shared" si="7"/>
        <v>1.0606666666666666</v>
      </c>
      <c r="K68" s="132" t="s">
        <v>331</v>
      </c>
      <c r="L68" s="87">
        <f t="shared" si="8"/>
        <v>222.74000000000004</v>
      </c>
      <c r="M68" s="127" t="s">
        <v>331</v>
      </c>
      <c r="N68" s="84"/>
      <c r="U68" s="87">
        <v>0.88388888888888895</v>
      </c>
      <c r="V68" s="87">
        <v>212.13333333333335</v>
      </c>
    </row>
    <row r="69" spans="1:22">
      <c r="A69" s="125">
        <v>1</v>
      </c>
      <c r="B69" s="84" t="s">
        <v>339</v>
      </c>
      <c r="C69" s="84" t="s">
        <v>329</v>
      </c>
      <c r="D69" s="84">
        <f t="shared" si="6"/>
        <v>1</v>
      </c>
      <c r="E69" s="84" t="s">
        <v>330</v>
      </c>
      <c r="F69" s="87">
        <f>U69*'Clinical Info'!$P$6</f>
        <v>3.9938933333333333</v>
      </c>
      <c r="G69" s="87">
        <f>V69*'Clinical Info'!$P$7</f>
        <v>445.72920000000005</v>
      </c>
      <c r="H69" s="84" t="s">
        <v>331</v>
      </c>
      <c r="I69" s="84" t="s">
        <v>329</v>
      </c>
      <c r="J69" s="87">
        <f t="shared" si="7"/>
        <v>3.9938933333333333</v>
      </c>
      <c r="K69" s="132" t="s">
        <v>331</v>
      </c>
      <c r="L69" s="87">
        <f t="shared" si="8"/>
        <v>445.72920000000005</v>
      </c>
      <c r="M69" s="127" t="s">
        <v>331</v>
      </c>
      <c r="N69" s="84"/>
      <c r="U69" s="87">
        <v>3.3282444444444446</v>
      </c>
      <c r="V69" s="87">
        <v>424.50400000000002</v>
      </c>
    </row>
    <row r="70" spans="1:22">
      <c r="A70" s="84"/>
      <c r="B70" s="84" t="s">
        <v>340</v>
      </c>
      <c r="C70" s="84" t="s">
        <v>329</v>
      </c>
      <c r="D70" s="84">
        <f>A61</f>
        <v>5</v>
      </c>
      <c r="E70" s="84" t="s">
        <v>330</v>
      </c>
      <c r="F70" s="87">
        <f>U70*'Clinical Info'!$P$6</f>
        <v>61.084656249999995</v>
      </c>
      <c r="G70" s="87">
        <f>V70*'Clinical Info'!$P$7</f>
        <v>8413.2972000000009</v>
      </c>
      <c r="H70" s="84" t="s">
        <v>331</v>
      </c>
      <c r="I70" s="84" t="s">
        <v>329</v>
      </c>
      <c r="J70" s="87">
        <f t="shared" si="7"/>
        <v>305.42328124999995</v>
      </c>
      <c r="K70" s="132" t="s">
        <v>331</v>
      </c>
      <c r="L70" s="87">
        <f t="shared" si="8"/>
        <v>42066.486000000004</v>
      </c>
      <c r="M70" s="127" t="s">
        <v>331</v>
      </c>
      <c r="N70" s="84"/>
      <c r="U70" s="87">
        <v>50.903880208333334</v>
      </c>
      <c r="V70" s="87">
        <v>8012.6639999999998</v>
      </c>
    </row>
    <row r="71" spans="1:22">
      <c r="A71" s="84"/>
      <c r="B71" s="84" t="s">
        <v>341</v>
      </c>
      <c r="C71" s="84" t="s">
        <v>329</v>
      </c>
      <c r="D71" s="84">
        <f>ROUND((SUM(A63:A69)/2),0)</f>
        <v>4</v>
      </c>
      <c r="E71" s="84" t="s">
        <v>330</v>
      </c>
      <c r="F71" s="87">
        <f>U71*'Clinical Info'!$P$6</f>
        <v>3.6160833333333331</v>
      </c>
      <c r="G71" s="87">
        <f>V71*'Clinical Info'!$P$7</f>
        <v>3888.0128000000004</v>
      </c>
      <c r="H71" s="84" t="s">
        <v>331</v>
      </c>
      <c r="I71" s="84" t="s">
        <v>329</v>
      </c>
      <c r="J71" s="87">
        <f t="shared" si="7"/>
        <v>14.464333333333332</v>
      </c>
      <c r="K71" s="132" t="s">
        <v>331</v>
      </c>
      <c r="L71" s="87">
        <f t="shared" si="8"/>
        <v>15552.051200000002</v>
      </c>
      <c r="M71" s="127" t="s">
        <v>331</v>
      </c>
      <c r="N71" s="84"/>
      <c r="U71" s="87">
        <v>3.0134027777777779</v>
      </c>
      <c r="V71" s="87">
        <v>3702.8693333333335</v>
      </c>
    </row>
    <row r="72" spans="1:22" ht="14.65" thickBot="1">
      <c r="A72" s="84"/>
      <c r="B72" s="88" t="s">
        <v>342</v>
      </c>
      <c r="C72" s="88" t="s">
        <v>329</v>
      </c>
      <c r="D72" s="88">
        <f>SUM(A61:A69)</f>
        <v>16</v>
      </c>
      <c r="E72" s="88" t="s">
        <v>330</v>
      </c>
      <c r="F72" s="89">
        <f>U72*'Clinical Info'!$P$6</f>
        <v>1.3249583333333332</v>
      </c>
      <c r="G72" s="89">
        <f>V72*'Clinical Info'!$P$7</f>
        <v>4808008.8</v>
      </c>
      <c r="H72" s="88" t="s">
        <v>331</v>
      </c>
      <c r="I72" s="88" t="s">
        <v>329</v>
      </c>
      <c r="J72" s="89">
        <f t="shared" si="7"/>
        <v>21.199333333333332</v>
      </c>
      <c r="K72" s="133" t="s">
        <v>331</v>
      </c>
      <c r="L72" s="89">
        <f t="shared" si="8"/>
        <v>76928140.799999997</v>
      </c>
      <c r="M72" s="128" t="s">
        <v>331</v>
      </c>
      <c r="N72" s="84"/>
      <c r="U72" s="89">
        <v>1.1041319444444444</v>
      </c>
      <c r="V72" s="89">
        <v>4579056</v>
      </c>
    </row>
    <row r="73" spans="1:22" ht="14.65" thickBot="1">
      <c r="A73" s="84"/>
      <c r="B73" s="84"/>
      <c r="C73" s="84"/>
      <c r="D73" s="90" t="s">
        <v>343</v>
      </c>
      <c r="E73" s="84">
        <f>A61</f>
        <v>5</v>
      </c>
      <c r="F73" s="84" t="s">
        <v>344</v>
      </c>
      <c r="G73" s="84"/>
      <c r="H73" s="84"/>
      <c r="I73" s="84" t="s">
        <v>329</v>
      </c>
      <c r="J73" s="101">
        <f>SUM(J61:J72)</f>
        <v>522.49181191666662</v>
      </c>
      <c r="K73" s="134" t="s">
        <v>331</v>
      </c>
      <c r="L73" s="98">
        <f>SUM(L61:L72)/1024</f>
        <v>75197.226811328117</v>
      </c>
      <c r="M73" s="129" t="s">
        <v>345</v>
      </c>
      <c r="N73" s="99" t="s">
        <v>346</v>
      </c>
    </row>
    <row r="74" spans="1:22" ht="15" thickTop="1" thickBot="1">
      <c r="A74" s="84"/>
      <c r="B74" s="84"/>
      <c r="C74" s="84"/>
      <c r="D74" s="90" t="s">
        <v>347</v>
      </c>
      <c r="E74" s="84">
        <f>A61</f>
        <v>5</v>
      </c>
      <c r="F74" s="84" t="s">
        <v>344</v>
      </c>
      <c r="G74" s="84"/>
      <c r="H74" s="84"/>
      <c r="I74" s="84" t="s">
        <v>329</v>
      </c>
      <c r="J74" s="91">
        <f>AVERAGE(J61:J72)</f>
        <v>43.540984326388887</v>
      </c>
      <c r="K74" s="135" t="s">
        <v>331</v>
      </c>
      <c r="L74" s="100">
        <f>AVERAGE(L61:L72)/1024</f>
        <v>6266.4355676106761</v>
      </c>
      <c r="M74" s="129" t="s">
        <v>345</v>
      </c>
      <c r="N74" s="99" t="s">
        <v>480</v>
      </c>
    </row>
    <row r="75" spans="1:22" ht="15" thickTop="1" thickBot="1">
      <c r="A75" s="84"/>
      <c r="B75" s="84"/>
      <c r="C75" s="84"/>
      <c r="D75" s="90"/>
      <c r="E75" s="84"/>
      <c r="F75" s="84"/>
      <c r="G75" s="84"/>
      <c r="H75" s="84"/>
      <c r="I75" s="84"/>
      <c r="J75" s="84"/>
      <c r="K75" s="127"/>
      <c r="L75" s="100">
        <f>AVERAGE(L61:L71)/1024</f>
        <v>6.5535737571022734</v>
      </c>
      <c r="M75" s="129" t="s">
        <v>345</v>
      </c>
      <c r="N75" s="99" t="s">
        <v>479</v>
      </c>
    </row>
    <row r="76" spans="1:22" ht="14.65" thickTop="1">
      <c r="A76" s="84"/>
      <c r="B76" s="90" t="s">
        <v>348</v>
      </c>
      <c r="C76" s="84" t="s">
        <v>349</v>
      </c>
      <c r="D76" s="90"/>
      <c r="E76" s="84"/>
      <c r="F76" s="84"/>
      <c r="G76" s="84"/>
      <c r="H76" s="84"/>
      <c r="I76" s="84"/>
      <c r="J76" s="84"/>
      <c r="K76" s="127"/>
      <c r="L76" s="84"/>
      <c r="M76" s="127"/>
      <c r="N76" s="84"/>
    </row>
    <row r="77" spans="1:22">
      <c r="A77" s="84"/>
      <c r="B77" s="84"/>
      <c r="C77" s="84" t="s">
        <v>350</v>
      </c>
      <c r="D77" s="90"/>
      <c r="E77" s="84"/>
      <c r="F77" s="84"/>
      <c r="G77" s="84"/>
      <c r="H77" s="84"/>
      <c r="I77" s="84"/>
      <c r="J77" s="84"/>
      <c r="K77" s="127"/>
      <c r="L77" s="84"/>
      <c r="M77" s="127"/>
      <c r="N77" s="84"/>
    </row>
  </sheetData>
  <sheetProtection algorithmName="SHA-512" hashValue="03IkEZYi9opTpJw25jnQOo8LywP2xkcnOSKF5FiUG6xqAehgqVRooN+sres2MBoib4ASbYt3wSyFCs6NT6Y3Ww==" saltValue="eMAy7z/+1wJbO+91ffNdOg==" spinCount="100000" sheet="1" objects="1" scenarios="1" selectLockedCells="1"/>
  <mergeCells count="1">
    <mergeCell ref="C1:I1"/>
  </mergeCells>
  <pageMargins left="0.7" right="0.7" top="0.75" bottom="0.75" header="0.3" footer="0.3"/>
  <pageSetup orientation="portrait" horizontalDpi="1200" verticalDpi="1200" r:id="rId1"/>
  <ignoredErrors>
    <ignoredError sqref="D71 D49 D26"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22541" r:id="rId4" name="Button 13">
              <controlPr defaultSize="0" print="0" autoFill="0" autoPict="0" macro="[0]!Reset_bitrates_info">
                <anchor moveWithCells="1">
                  <from>
                    <xdr:col>0</xdr:col>
                    <xdr:colOff>28575</xdr:colOff>
                    <xdr:row>0</xdr:row>
                    <xdr:rowOff>9525</xdr:rowOff>
                  </from>
                  <to>
                    <xdr:col>1</xdr:col>
                    <xdr:colOff>371475</xdr:colOff>
                    <xdr:row>0</xdr:row>
                    <xdr:rowOff>257175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44D-D83B-460E-BD45-25EBEB052F2A}">
  <sheetPr codeName="Sheet12"/>
  <dimension ref="B1:D28"/>
  <sheetViews>
    <sheetView workbookViewId="0">
      <selection activeCell="C9" sqref="C9"/>
    </sheetView>
  </sheetViews>
  <sheetFormatPr defaultColWidth="8.86328125" defaultRowHeight="14.25"/>
  <cols>
    <col min="2" max="2" width="26.1328125" customWidth="1"/>
    <col min="3" max="3" width="111" customWidth="1"/>
    <col min="4" max="4" width="12.73046875" bestFit="1" customWidth="1"/>
  </cols>
  <sheetData>
    <row r="1" spans="2:4" ht="30.75">
      <c r="B1" s="840" t="s">
        <v>1112</v>
      </c>
      <c r="C1" s="840" t="s">
        <v>1113</v>
      </c>
      <c r="D1" s="840" t="s">
        <v>1114</v>
      </c>
    </row>
    <row r="2" spans="2:4">
      <c r="D2" s="126"/>
    </row>
    <row r="3" spans="2:4">
      <c r="B3" t="s">
        <v>1110</v>
      </c>
      <c r="C3" t="s">
        <v>1111</v>
      </c>
      <c r="D3" s="126"/>
    </row>
    <row r="4" spans="2:4">
      <c r="B4" t="s">
        <v>1110</v>
      </c>
      <c r="C4" t="s">
        <v>1115</v>
      </c>
      <c r="D4" s="126"/>
    </row>
    <row r="5" spans="2:4">
      <c r="B5" t="s">
        <v>1110</v>
      </c>
      <c r="C5" t="s">
        <v>1116</v>
      </c>
      <c r="D5" s="126"/>
    </row>
    <row r="6" spans="2:4">
      <c r="B6" t="s">
        <v>1117</v>
      </c>
      <c r="C6" t="s">
        <v>1118</v>
      </c>
      <c r="D6" s="841">
        <v>43984</v>
      </c>
    </row>
    <row r="7" spans="2:4">
      <c r="B7" t="s">
        <v>1117</v>
      </c>
      <c r="C7" t="s">
        <v>1119</v>
      </c>
      <c r="D7" s="841">
        <v>44005</v>
      </c>
    </row>
    <row r="8" spans="2:4">
      <c r="B8" t="s">
        <v>1117</v>
      </c>
      <c r="C8" t="s">
        <v>1120</v>
      </c>
      <c r="D8" s="841">
        <v>44098</v>
      </c>
    </row>
    <row r="9" spans="2:4">
      <c r="D9" s="126"/>
    </row>
    <row r="10" spans="2:4">
      <c r="D10" s="126"/>
    </row>
    <row r="11" spans="2:4">
      <c r="D11" s="126"/>
    </row>
    <row r="12" spans="2:4">
      <c r="D12" s="126"/>
    </row>
    <row r="13" spans="2:4">
      <c r="D13" s="126"/>
    </row>
    <row r="14" spans="2:4">
      <c r="D14" s="126"/>
    </row>
    <row r="15" spans="2:4">
      <c r="D15" s="126"/>
    </row>
    <row r="16" spans="2:4">
      <c r="D16" s="126"/>
    </row>
    <row r="17" spans="4:4">
      <c r="D17" s="126"/>
    </row>
    <row r="18" spans="4:4">
      <c r="D18" s="126"/>
    </row>
    <row r="19" spans="4:4">
      <c r="D19" s="126"/>
    </row>
    <row r="20" spans="4:4">
      <c r="D20" s="126"/>
    </row>
    <row r="21" spans="4:4">
      <c r="D21" s="126"/>
    </row>
    <row r="22" spans="4:4">
      <c r="D22" s="126"/>
    </row>
    <row r="23" spans="4:4">
      <c r="D23" s="126"/>
    </row>
    <row r="24" spans="4:4">
      <c r="D24" s="126"/>
    </row>
    <row r="25" spans="4:4">
      <c r="D25" s="126"/>
    </row>
    <row r="26" spans="4:4">
      <c r="D26" s="126"/>
    </row>
    <row r="27" spans="4:4">
      <c r="D27" s="126"/>
    </row>
    <row r="28" spans="4:4">
      <c r="D28" s="126"/>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1">
    <tabColor rgb="FFFF0000"/>
  </sheetPr>
  <dimension ref="A1:AZ238"/>
  <sheetViews>
    <sheetView showGridLines="0" zoomScaleNormal="100" workbookViewId="0">
      <selection activeCell="N30" sqref="N30"/>
    </sheetView>
  </sheetViews>
  <sheetFormatPr defaultColWidth="8.86328125" defaultRowHeight="14.25"/>
  <cols>
    <col min="1" max="1" width="37.3984375" customWidth="1"/>
    <col min="2" max="2" width="13.3984375" customWidth="1"/>
    <col min="3" max="3" width="6.3984375" hidden="1" customWidth="1"/>
    <col min="4" max="4" width="7.3984375" hidden="1" customWidth="1"/>
    <col min="5" max="5" width="5.3984375" hidden="1" customWidth="1"/>
    <col min="6" max="6" width="6.3984375" hidden="1" customWidth="1"/>
    <col min="7" max="7" width="4.1328125" style="5" customWidth="1"/>
    <col min="8" max="8" width="48.86328125" customWidth="1"/>
    <col min="9" max="9" width="14.3984375" customWidth="1"/>
    <col min="10" max="10" width="39.3984375" bestFit="1" customWidth="1"/>
    <col min="11" max="52" width="9.1328125" style="5"/>
  </cols>
  <sheetData>
    <row r="1" spans="1:10">
      <c r="A1" s="137" t="s">
        <v>147</v>
      </c>
      <c r="B1" s="137" t="s">
        <v>220</v>
      </c>
      <c r="H1" s="137" t="s">
        <v>253</v>
      </c>
      <c r="I1" s="137" t="s">
        <v>41</v>
      </c>
      <c r="J1" s="137" t="s">
        <v>201</v>
      </c>
    </row>
    <row r="2" spans="1:10">
      <c r="A2" s="23" t="s">
        <v>148</v>
      </c>
      <c r="B2" s="23" t="str">
        <f>IF('Clinical Info'!H6 = "Select One:", "Missing", "Complete")</f>
        <v>Missing</v>
      </c>
      <c r="D2" t="s">
        <v>196</v>
      </c>
      <c r="H2" s="23" t="s">
        <v>221</v>
      </c>
      <c r="I2" s="24" t="str">
        <f>IF('Database Server Info'!L9="","Info Needed",IF('Database Server Info'!L9="Server must be Windows Server '08 R2","Not in spec","In Spec"))</f>
        <v>Info Needed</v>
      </c>
      <c r="J2" s="23" t="s">
        <v>202</v>
      </c>
    </row>
    <row r="3" spans="1:10">
      <c r="A3" s="23" t="s">
        <v>149</v>
      </c>
      <c r="B3" s="23" t="str">
        <f>IF('Clinical Info'!H7 = "Select One:", "Missing", "Complete")</f>
        <v>Missing</v>
      </c>
      <c r="D3" t="s">
        <v>196</v>
      </c>
      <c r="H3" s="25" t="s">
        <v>255</v>
      </c>
      <c r="I3" s="24" t="str">
        <f>IF('Database Server Info'!K4="Yes",(IF('Clinical Info'!H9&gt;25,"Not in Spec","In Spec")),(IF('Database Server Info'!K4="Select One:","Info Needed","In Spec")))</f>
        <v>Info Needed</v>
      </c>
      <c r="J3" s="23" t="s">
        <v>256</v>
      </c>
    </row>
    <row r="4" spans="1:10">
      <c r="A4" s="23" t="s">
        <v>150</v>
      </c>
      <c r="B4" s="23" t="str">
        <f>IF('Clinical Info'!H8 = "", "Missing", "Complete")</f>
        <v>Missing</v>
      </c>
      <c r="H4" s="23" t="s">
        <v>198</v>
      </c>
      <c r="I4" s="24" t="str">
        <f>IF('Virtualized Config Checklist1'!D6="No","Not in spec",IF('Virtualized Config Checklist1'!D6="Yes","In Spec","Info Needed"))</f>
        <v>Info Needed</v>
      </c>
      <c r="J4" s="23" t="s">
        <v>203</v>
      </c>
    </row>
    <row r="5" spans="1:10">
      <c r="A5" s="23" t="s">
        <v>151</v>
      </c>
      <c r="B5" s="23" t="str">
        <f>IF('Clinical Info'!H9 = "", "Missing", "Complete")</f>
        <v>Missing</v>
      </c>
      <c r="H5" s="23" t="s">
        <v>199</v>
      </c>
      <c r="I5" s="24" t="str">
        <f>IF('Virtualized Config Checklist1'!D7="No","Not in spec",IF('Virtualized Config Checklist1'!D7="Yes","In Spec","Info Needed"))</f>
        <v>Info Needed</v>
      </c>
      <c r="J5" s="23" t="s">
        <v>204</v>
      </c>
    </row>
    <row r="6" spans="1:10">
      <c r="A6" s="23" t="s">
        <v>152</v>
      </c>
      <c r="B6" s="23" t="str">
        <f>IF('Clinical Info'!H10 = "", "Missing", "Complete")</f>
        <v>Missing</v>
      </c>
      <c r="H6" s="23" t="s">
        <v>200</v>
      </c>
      <c r="I6" s="24" t="str">
        <f>IF('Virtualized Config Checklist1'!D8="No","Not in spec",IF('Virtualized Config Checklist1'!D8="Yes","In Spec","Info Needed"))</f>
        <v>Info Needed</v>
      </c>
      <c r="J6" s="23" t="s">
        <v>205</v>
      </c>
    </row>
    <row r="7" spans="1:10">
      <c r="A7" s="23" t="s">
        <v>153</v>
      </c>
      <c r="B7" s="23" t="str">
        <f>IF('Clinical Info'!H11 = "", "Missing", "Complete")</f>
        <v>Missing</v>
      </c>
      <c r="H7" s="23" t="s">
        <v>213</v>
      </c>
      <c r="I7" s="24" t="str">
        <f>IF('Virtualized Config Checklist1'!I6="No","Not in spec",IF('Virtualized Config Checklist1'!I6="Yes","In Spec",IF('Virtualized Config Checklist1'!I6="Not Applicable","N/A","Info Needed")))</f>
        <v>Info Needed</v>
      </c>
      <c r="J7" s="23" t="s">
        <v>206</v>
      </c>
    </row>
    <row r="8" spans="1:10">
      <c r="A8" s="23" t="s">
        <v>154</v>
      </c>
      <c r="B8" s="23" t="str">
        <f>IF('Clinical Info'!H12 = "Select One:", "Missing", "Complete")</f>
        <v>Missing</v>
      </c>
      <c r="D8" t="s">
        <v>196</v>
      </c>
      <c r="H8" s="23" t="s">
        <v>215</v>
      </c>
      <c r="I8" s="24" t="str">
        <f>IF('Virtualized Config Checklist1'!I7="No","Not in spec",IF('Virtualized Config Checklist1'!I7="Yes","In Spec",IF('Virtualized Config Checklist1'!I7="Not Applicable","N/A","Info Needed")))</f>
        <v>Info Needed</v>
      </c>
      <c r="J8" s="23" t="s">
        <v>207</v>
      </c>
    </row>
    <row r="9" spans="1:10">
      <c r="A9" s="23" t="s">
        <v>155</v>
      </c>
      <c r="B9" s="23" t="str">
        <f>IF('Clinical Info'!H13 = "Select One:", "Missing", "Complete")</f>
        <v>Missing</v>
      </c>
      <c r="D9" t="s">
        <v>196</v>
      </c>
      <c r="H9" s="23" t="s">
        <v>217</v>
      </c>
      <c r="I9" s="24" t="str">
        <f>IF('Virtualized Config Checklist1'!I8="No","Not in spec",IF('Virtualized Config Checklist1'!I8="Yes","In Spec",IF('Virtualized Config Checklist1'!I8="Not Applicable","N/A","Info Needed")))</f>
        <v>Info Needed</v>
      </c>
      <c r="J9" s="23" t="s">
        <v>208</v>
      </c>
    </row>
    <row r="10" spans="1:10">
      <c r="A10" s="23" t="s">
        <v>156</v>
      </c>
      <c r="B10" s="23" t="str">
        <f>IF('Clinical Info'!H14 = "", "Missing", "Complete")</f>
        <v>Complete</v>
      </c>
      <c r="H10" s="23" t="s">
        <v>214</v>
      </c>
      <c r="I10" s="24" t="str">
        <f>IF('Virtualized Config Checklist1'!T5="No","Not in spec",IF('Virtualized Config Checklist1'!T5="Yes","In Spec","Info Needed"))</f>
        <v>Info Needed</v>
      </c>
      <c r="J10" s="23" t="s">
        <v>209</v>
      </c>
    </row>
    <row r="11" spans="1:10">
      <c r="A11" s="23" t="s">
        <v>157</v>
      </c>
      <c r="B11" s="23" t="str">
        <f>IF('Clinical Info'!$H$6="CPS (PM only)","N/A",IF('Clinical Info'!H17="","Missing","Complete"))</f>
        <v>Missing</v>
      </c>
      <c r="C11" t="s">
        <v>175</v>
      </c>
      <c r="H11" s="23" t="s">
        <v>216</v>
      </c>
      <c r="I11" s="24" t="str">
        <f>IF('Virtualized Config Checklist1'!T6="No","Not in spec",IF('Virtualized Config Checklist1'!T6="Yes","In Spec","Info Needed"))</f>
        <v>Info Needed</v>
      </c>
      <c r="J11" s="23" t="s">
        <v>210</v>
      </c>
    </row>
    <row r="12" spans="1:10">
      <c r="A12" s="23" t="s">
        <v>158</v>
      </c>
      <c r="B12" s="23" t="str">
        <f>IF('Clinical Info'!$H$6="CPS (PM only)","N/A",IF('Clinical Info'!H19="","Missing","Complete"))</f>
        <v>Missing</v>
      </c>
      <c r="C12" t="s">
        <v>175</v>
      </c>
      <c r="H12" s="23" t="s">
        <v>218</v>
      </c>
      <c r="I12" s="24" t="str">
        <f>IF('Virtualized Config Checklist1'!T7="No","Not in spec",IF('Virtualized Config Checklist1'!T7="Yes","In Spec","Info Needed"))</f>
        <v>Info Needed</v>
      </c>
      <c r="J12" s="23" t="s">
        <v>211</v>
      </c>
    </row>
    <row r="13" spans="1:10">
      <c r="A13" s="23" t="s">
        <v>159</v>
      </c>
      <c r="B13" s="23" t="e">
        <f>IF('Clinical Info'!$H$6="CPS (PM only)","N/A",IF('Clinical Info'!#REF!="","Missing","Complete"))</f>
        <v>#REF!</v>
      </c>
      <c r="C13" t="s">
        <v>175</v>
      </c>
      <c r="H13" s="23" t="s">
        <v>219</v>
      </c>
      <c r="I13" s="24" t="str">
        <f>IF('Virtualized Config Checklist1'!T8="No","Not in spec",IF('Virtualized Config Checklist1'!T8="Yes","In Spec","Info Needed"))</f>
        <v>Info Needed</v>
      </c>
      <c r="J13" s="23" t="s">
        <v>212</v>
      </c>
    </row>
    <row r="14" spans="1:10">
      <c r="A14" s="23" t="s">
        <v>160</v>
      </c>
      <c r="B14" s="23" t="str">
        <f>IF('Clinical Info'!$H$6="CPS (PM only)","N/A",IF('Clinical Info'!H20="","Missing","Complete"))</f>
        <v>Missing</v>
      </c>
      <c r="C14" t="s">
        <v>175</v>
      </c>
      <c r="H14" s="23" t="s">
        <v>741</v>
      </c>
      <c r="I14" s="24" t="str">
        <f>IF('Virtualized Config Checklist1'!B55="No","In Spec",IF('Virtualized Config Checklist1'!B55="Yes","Not in spec","Info Needed"))</f>
        <v>Info Needed</v>
      </c>
      <c r="J14" s="23" t="s">
        <v>738</v>
      </c>
    </row>
    <row r="15" spans="1:10">
      <c r="A15" s="23" t="s">
        <v>161</v>
      </c>
      <c r="B15" s="23" t="str">
        <f>IF('Database Server Info'!K3 = "Select One:", "Missing", "Complete")</f>
        <v>Missing</v>
      </c>
      <c r="D15" t="s">
        <v>196</v>
      </c>
      <c r="H15" s="23" t="s">
        <v>742</v>
      </c>
      <c r="I15" s="24" t="str">
        <f>IF('Virtualized Config Checklist1'!B56="No","In Spec",IF('Virtualized Config Checklist1'!B56="Yes","Not in spec","Info Needed"))</f>
        <v>Info Needed</v>
      </c>
      <c r="J15" s="23" t="s">
        <v>739</v>
      </c>
    </row>
    <row r="16" spans="1:10">
      <c r="A16" s="23" t="s">
        <v>162</v>
      </c>
      <c r="B16" s="23" t="str">
        <f>IF('Database Server Info'!K4 = "Select One:", "Missing", "Complete")</f>
        <v>Missing</v>
      </c>
      <c r="D16" t="s">
        <v>196</v>
      </c>
      <c r="H16" s="23" t="s">
        <v>39</v>
      </c>
      <c r="I16" s="24" t="str">
        <f>IF('Virtualized Config Checklist1'!B57="No","In Spec",IF('Virtualized Config Checklist1'!B57="Yes","Not in spec","Info Needed"))</f>
        <v>Info Needed</v>
      </c>
      <c r="J16" s="23" t="s">
        <v>740</v>
      </c>
    </row>
    <row r="17" spans="1:10">
      <c r="A17" s="23" t="s">
        <v>163</v>
      </c>
      <c r="B17" s="23" t="str">
        <f>IF('Database Server Info'!K5 = "", "Missing", "Complete")</f>
        <v>Missing</v>
      </c>
      <c r="H17" s="23" t="s">
        <v>743</v>
      </c>
      <c r="I17" s="24" t="str">
        <f>IF('Virtualized Config Checklist1'!B64="No","In Spec",IF('Virtualized Config Checklist1'!B64="Yes","Not in spec","Info Needed"))</f>
        <v>Info Needed</v>
      </c>
      <c r="J17" s="23" t="s">
        <v>745</v>
      </c>
    </row>
    <row r="18" spans="1:10">
      <c r="A18" s="23" t="s">
        <v>164</v>
      </c>
      <c r="B18" s="23" t="str">
        <f>IF('Database Server Info'!K7 = "Select One:", "Missing", "Complete")</f>
        <v>Missing</v>
      </c>
      <c r="D18" t="s">
        <v>196</v>
      </c>
      <c r="H18" s="23" t="s">
        <v>744</v>
      </c>
      <c r="I18" s="24" t="str">
        <f>IF('Virtualized Config Checklist1'!B65="No","In Spec",IF('Virtualized Config Checklist1'!B65="Yes","Not in spec","Info Needed"))</f>
        <v>Info Needed</v>
      </c>
      <c r="J18" s="23" t="s">
        <v>746</v>
      </c>
    </row>
    <row r="19" spans="1:10">
      <c r="A19" s="23" t="s">
        <v>165</v>
      </c>
      <c r="B19" s="23" t="str">
        <f>IF('Database Server Info'!K8 = "", "Missing", "Complete")</f>
        <v>Missing</v>
      </c>
      <c r="H19" s="23" t="s">
        <v>747</v>
      </c>
      <c r="I19" s="24" t="str">
        <f>IF('Virtualized Config Checklist1'!I54="","Info Needed","Info Supplied")</f>
        <v>Info Needed</v>
      </c>
      <c r="J19" s="23" t="s">
        <v>748</v>
      </c>
    </row>
    <row r="20" spans="1:10">
      <c r="A20" s="23" t="s">
        <v>166</v>
      </c>
      <c r="B20" s="23" t="str">
        <f>IF('Database Server Info'!K9 = "Select One:", "Missing", "Complete")</f>
        <v>Missing</v>
      </c>
      <c r="D20" t="s">
        <v>196</v>
      </c>
      <c r="H20" s="23" t="s">
        <v>749</v>
      </c>
      <c r="I20" s="24" t="str">
        <f>IF('Virtualized Config Checklist1'!I63="","Info Needed","Info Supplied")</f>
        <v>Info Needed</v>
      </c>
      <c r="J20" s="23" t="s">
        <v>750</v>
      </c>
    </row>
    <row r="21" spans="1:10">
      <c r="A21" s="23" t="s">
        <v>167</v>
      </c>
      <c r="B21" s="23" t="str">
        <f>IF('Database Server Info'!K11 = "", "Missing", "Complete")</f>
        <v>Missing</v>
      </c>
      <c r="H21" s="23" t="s">
        <v>268</v>
      </c>
      <c r="I21" s="24" t="str">
        <f>IF('Database Server Info'!K3="Select One:","Info Needed",IF('Database Server Info'!K3="Not Virtualized",IF('Physical Config Checklist '!B10="Select One:","Info Needed",IF('Physical Config Checklist '!B10="7200 RPM","Not in Spec","In Spec")),"N/A"))</f>
        <v>Info Needed</v>
      </c>
      <c r="J21" s="23" t="s">
        <v>269</v>
      </c>
    </row>
    <row r="22" spans="1:10">
      <c r="A22" s="23" t="s">
        <v>168</v>
      </c>
      <c r="B22" s="23" t="str">
        <f>IF('Citrix or Terminal Server Info'!H3 = "Select One:", "Missing", "Complete")</f>
        <v>Missing</v>
      </c>
      <c r="D22" t="s">
        <v>196</v>
      </c>
      <c r="H22" s="23" t="s">
        <v>257</v>
      </c>
      <c r="I22" s="24" t="str">
        <f>IF('Database Server Info'!K3="Select One:","Info Needed",IF('Database Server Info'!K3="Not Virtualized",IF('Physical Config Checklist '!B13="","Info Needed",IF('Physical Config Checklist '!B13&gt;='Physical Config Checklist '!C13,"In Spec","Not in Spec")),"N/A"))</f>
        <v>Info Needed</v>
      </c>
      <c r="J22" s="23" t="s">
        <v>263</v>
      </c>
    </row>
    <row r="23" spans="1:10">
      <c r="A23" s="23" t="s">
        <v>169</v>
      </c>
      <c r="B23" s="23" t="str">
        <f>IF('Citrix or Terminal Server Info'!H3="No","N/A",IF('Citrix or Terminal Server Info'!H5 = "Select One:", "Missing", "Complete"))</f>
        <v>Missing</v>
      </c>
      <c r="C23" t="s">
        <v>175</v>
      </c>
      <c r="D23" t="s">
        <v>196</v>
      </c>
      <c r="H23" s="23" t="s">
        <v>258</v>
      </c>
      <c r="I23" s="24" t="str">
        <f>IF('Database Server Info'!K3="Select One:","Info Needed",IF('Database Server Info'!K3="Not Virtualized",IF('Physical Config Checklist '!B14="","Info Needed",IF('Physical Config Checklist '!B14&gt;='Physical Config Checklist '!C14,"In Spec","Not in Spec")),"N/A"))</f>
        <v>Info Needed</v>
      </c>
      <c r="J23" s="23" t="s">
        <v>264</v>
      </c>
    </row>
    <row r="24" spans="1:10">
      <c r="A24" s="23" t="s">
        <v>170</v>
      </c>
      <c r="B24" s="23" t="str">
        <f>IF('Citrix or Terminal Server Info'!H3="No","N/A",IF('Citrix or Terminal Server Info'!H7="","Missing","Complete"))</f>
        <v>Missing</v>
      </c>
      <c r="C24" t="s">
        <v>175</v>
      </c>
      <c r="H24" s="23" t="s">
        <v>259</v>
      </c>
      <c r="I24" s="24" t="str">
        <f>IF('Database Server Info'!K3="Select One:","Info Needed",IF('Database Server Info'!K3="Not Virtualized",IF('Physical Config Checklist '!B15="Select One:","Info Needed",IF('Physical Config Checklist '!B15="Win Svr 08 R2","In Spec","Not in Spec")),"N/A"))</f>
        <v>Info Needed</v>
      </c>
      <c r="J24" s="23" t="s">
        <v>265</v>
      </c>
    </row>
    <row r="25" spans="1:10">
      <c r="A25" s="23" t="s">
        <v>171</v>
      </c>
      <c r="B25" s="23" t="str">
        <f>IF('Citrix or Terminal Server Info'!H3="No","N/A",IF('Citrix or Terminal Server Info'!H9="","Missing","Complete"))</f>
        <v>Missing</v>
      </c>
      <c r="C25" t="s">
        <v>175</v>
      </c>
      <c r="H25" s="23" t="s">
        <v>260</v>
      </c>
      <c r="I25" s="24" t="str">
        <f>IF('Database Server Info'!K3="Select One:","Info Needed",IF('Database Server Info'!K3="Not Virtualized",IF('Physical Config Checklist '!B16="","Info Needed",IF('Physical Config Checklist '!B16&gt;='Physical Config Checklist '!C16,"In Spec","Not in Spec")),"N/A"))</f>
        <v>Info Needed</v>
      </c>
      <c r="J25" s="23" t="s">
        <v>266</v>
      </c>
    </row>
    <row r="26" spans="1:10">
      <c r="A26" s="23" t="s">
        <v>172</v>
      </c>
      <c r="B26" s="23" t="str">
        <f>IF('Citrix or Terminal Server Info'!H3="No","N/A",IF('Citrix or Terminal Server Info'!H9="","Missing","Complete"))</f>
        <v>Missing</v>
      </c>
      <c r="C26" t="s">
        <v>175</v>
      </c>
      <c r="H26" s="23" t="s">
        <v>261</v>
      </c>
      <c r="I26" s="24" t="str">
        <f>IF('Database Server Info'!K3="Select One:","Info Needed",IF('Database Server Info'!K3="Not Virtualized",IF('Physical Config Checklist '!B17="Select One:","Info Needed",IF('Physical Config Checklist '!B17="Raid0","Not in Spec","In Spec")),"N/A"))</f>
        <v>Info Needed</v>
      </c>
      <c r="J26" s="23" t="s">
        <v>267</v>
      </c>
    </row>
    <row r="27" spans="1:10">
      <c r="A27" s="23" t="s">
        <v>173</v>
      </c>
      <c r="B27" s="23" t="str">
        <f>IF('Citrix or Terminal Server Info'!H3="No","N/A",IF('Citrix or Terminal Server Info'!H10="","Missing","Complete"))</f>
        <v>Missing</v>
      </c>
      <c r="C27" t="s">
        <v>175</v>
      </c>
      <c r="D27" t="s">
        <v>196</v>
      </c>
      <c r="E27" t="s">
        <v>197</v>
      </c>
      <c r="H27" s="23" t="s">
        <v>262</v>
      </c>
      <c r="I27" s="24" t="str">
        <f>IF('Database Server Info'!K3="Select One:","Info Needed",IF('Database Server Info'!K3="Not Virtualized",IF('Physical Config Checklist '!B19=0,"Info Needed",IF('Physical Config Checklist '!B19&gt;='Physical Config Checklist '!C19,"In Spec","Not in Spec")),"N/A"))</f>
        <v>Info Needed</v>
      </c>
      <c r="J27" s="23" t="s">
        <v>300</v>
      </c>
    </row>
    <row r="28" spans="1:10">
      <c r="A28" s="23" t="s">
        <v>174</v>
      </c>
      <c r="B28" s="23" t="str">
        <f>IF('Citrix or Terminal Server Info'!H3="No","N/A",IF('Citrix or Terminal Server Info'!H20="","Missing","Complete"))</f>
        <v>Missing</v>
      </c>
      <c r="C28" t="s">
        <v>175</v>
      </c>
      <c r="H28" s="23" t="s">
        <v>271</v>
      </c>
      <c r="I28" s="24" t="str">
        <f>IF('Database Server Info'!M4="Select One:","Info Needed",IF('Database Server Info'!M4="Not Virtualized",IF('Physical Config Checklist '!B26="","Info Needed",IF('Physical Config Checklist '!B26&gt;='Physical Config Checklist '!C26,"In Spec","Not in Spec")),"N/A"))</f>
        <v>Info Needed</v>
      </c>
      <c r="J28" s="23" t="s">
        <v>301</v>
      </c>
    </row>
    <row r="29" spans="1:10">
      <c r="A29" s="23" t="s">
        <v>751</v>
      </c>
      <c r="B29" s="23" t="str">
        <f>IF('Citrix or Terminal Server Info'!H3="No","N/A",IF('Citrix or Terminal Server Info'!H21="","Missing","Complete"))</f>
        <v>Missing</v>
      </c>
      <c r="C29" t="s">
        <v>175</v>
      </c>
      <c r="H29" s="23" t="s">
        <v>272</v>
      </c>
      <c r="I29" s="24" t="str">
        <f>IF('Database Server Info'!M4="Select One:","Info Needed",IF('Database Server Info'!M4="Not Virtualized",IF('Physical Config Checklist '!B27="","Info Needed",IF('Physical Config Checklist '!B27&gt;='Physical Config Checklist '!C27,"In Spec","Not in Spec")),"N/A"))</f>
        <v>Info Needed</v>
      </c>
      <c r="J29" s="23" t="s">
        <v>302</v>
      </c>
    </row>
    <row r="30" spans="1:10">
      <c r="A30" s="23" t="s">
        <v>752</v>
      </c>
      <c r="B30" s="23" t="str">
        <f>IF('Citrix or Terminal Server Info'!H3="No","N/A",IF('Citrix or Terminal Server Info'!F22="","Missing","Complete"))</f>
        <v>Complete</v>
      </c>
      <c r="C30" t="s">
        <v>175</v>
      </c>
      <c r="H30" s="23" t="s">
        <v>273</v>
      </c>
      <c r="I30" s="24" t="str">
        <f>IF('Database Server Info'!M4="Select One:","Info Needed",IF('Database Server Info'!M4="Not Virtualized",IF('Physical Config Checklist '!B28="Select One:","Info Needed",IF('Physical Config Checklist '!B28="Win Svr 08 R2","In Spec","Not in Spec")),"N/A"))</f>
        <v>Info Needed</v>
      </c>
      <c r="J30" s="23" t="s">
        <v>303</v>
      </c>
    </row>
    <row r="31" spans="1:10">
      <c r="A31" s="23" t="s">
        <v>753</v>
      </c>
      <c r="B31" s="23" t="str">
        <f>IF('Citrix or Terminal Server Info'!H3="No","N/A",IF('Citrix or Terminal Server Info'!H22="","Missing","Complete"))</f>
        <v>Missing</v>
      </c>
      <c r="C31" t="s">
        <v>175</v>
      </c>
      <c r="H31" s="23" t="s">
        <v>270</v>
      </c>
      <c r="I31" s="24" t="str">
        <f>IF('Database Server Info'!M4="Select One:","Info Needed",IF('Database Server Info'!M4="Not Virtualized",IF('Physical Config Checklist '!B32=0,"Info Needed",IF('Physical Config Checklist '!B32&gt;='Physical Config Checklist '!C32,"In Spec","Not in Spec")),"N/A"))</f>
        <v>Info Needed</v>
      </c>
      <c r="J31" s="23" t="s">
        <v>304</v>
      </c>
    </row>
    <row r="32" spans="1:10">
      <c r="A32" s="23" t="s">
        <v>534</v>
      </c>
      <c r="B32" s="23" t="str">
        <f>IF('Database Server Info'!K3&lt;&gt;"Not Virtualized",IF('Virtualized Config Checklist1'!C6 = "", "Missing", "Complete"),"N/A")</f>
        <v>Missing</v>
      </c>
      <c r="H32" s="23" t="s">
        <v>275</v>
      </c>
      <c r="I32" s="24" t="str">
        <f>IF('Citrix or Terminal Server Info'!H5="Select One:","Info Needed",IF('Citrix or Terminal Server Info'!H5="No",IF('Physical Config Checklist '!L11="","Info Needed",IF('Physical Config Checklist '!L11&gt;='Physical Config Checklist '!M11,"In Spec","Not in Spec")),"N/A"))</f>
        <v>Info Needed</v>
      </c>
      <c r="J32" s="23" t="s">
        <v>283</v>
      </c>
    </row>
    <row r="33" spans="1:10">
      <c r="A33" s="23" t="s">
        <v>535</v>
      </c>
      <c r="B33" s="23" t="str">
        <f>IF('Database Server Info'!K3&lt;&gt;"Not Virtualized",IF('Virtualized Config Checklist1'!C7 = "", "Missing", "Complete"),"N/A")</f>
        <v>Missing</v>
      </c>
      <c r="H33" s="23" t="s">
        <v>276</v>
      </c>
      <c r="I33" s="24" t="str">
        <f>IF('Citrix or Terminal Server Info'!H5="Select One:","Info Needed",IF('Citrix or Terminal Server Info'!H5="No",IF('Physical Config Checklist '!L12="","Info Needed",IF('Physical Config Checklist '!L12&gt;='Physical Config Checklist '!M12,"In Spec","Not in Spec")),"N/A"))</f>
        <v>Info Needed</v>
      </c>
      <c r="J33" s="23" t="s">
        <v>284</v>
      </c>
    </row>
    <row r="34" spans="1:10">
      <c r="A34" s="23" t="s">
        <v>536</v>
      </c>
      <c r="B34" s="23" t="str">
        <f>IF('Database Server Info'!K3&lt;&gt;"Not Virtualized",IF('Virtualized Config Checklist1'!C8 = "", "Missing", "Complete"),"N/A")</f>
        <v>Missing</v>
      </c>
      <c r="H34" s="23" t="s">
        <v>277</v>
      </c>
      <c r="I34" s="24" t="str">
        <f>IF('Citrix or Terminal Server Info'!H5="Select One:","Info Needed",IF('Citrix or Terminal Server Info'!H5="No",IF('Physical Config Checklist '!L13="Select One:","Info Needed",IF('Physical Config Checklist '!L13="Win Svr 08 R2","In Spec","Not in Spec")),"N/A"))</f>
        <v>Info Needed</v>
      </c>
      <c r="J34" s="23" t="s">
        <v>285</v>
      </c>
    </row>
    <row r="35" spans="1:10">
      <c r="A35" s="23" t="s">
        <v>176</v>
      </c>
      <c r="B35" s="23" t="str">
        <f>IF('Database Server Info'!K3&lt;&gt;"Not Virtualized",IF('Virtualized Config Checklist1'!H6 = "", IF('Virtualized Config Checklist1'!I6 = "Not Applicable","N/A","Missing"), "Complete"),"N/A")</f>
        <v>Missing</v>
      </c>
      <c r="H35" s="23" t="s">
        <v>278</v>
      </c>
      <c r="I35" s="24" t="str">
        <f>IF('Citrix or Terminal Server Info'!H5="Select One:","Info Needed",IF('Citrix or Terminal Server Info'!H5="No",IF('Physical Config Checklist '!L14="","Info Needed",IF('Physical Config Checklist '!L14&gt;='Physical Config Checklist '!M14,"In Spec","Not in Spec")),"N/A"))</f>
        <v>Info Needed</v>
      </c>
      <c r="J35" s="23" t="s">
        <v>286</v>
      </c>
    </row>
    <row r="36" spans="1:10">
      <c r="A36" s="23" t="s">
        <v>177</v>
      </c>
      <c r="B36" s="23" t="str">
        <f>IF('Database Server Info'!K4&lt;&gt;"Not Virtualized",IF('Virtualized Config Checklist1'!H7 = "", IF('Virtualized Config Checklist1'!I7 = "Not Applicable","N/A","Missing"), "Complete"),"N/A")</f>
        <v>Missing</v>
      </c>
      <c r="H36" s="23" t="s">
        <v>279</v>
      </c>
      <c r="I36" s="24" t="str">
        <f>IF('Citrix or Terminal Server Info'!H5="Select One:","Info Needed",IF('Citrix or Terminal Server Info'!H5="No",IF('Physical Config Checklist '!L15="Select One:","Info Needed",IF('Physical Config Checklist '!L15="Raid1 or 10","In Spec","Not in Spec")),"N/A"))</f>
        <v>Info Needed</v>
      </c>
      <c r="J36" s="23" t="s">
        <v>287</v>
      </c>
    </row>
    <row r="37" spans="1:10">
      <c r="A37" s="23" t="s">
        <v>178</v>
      </c>
      <c r="B37" s="23" t="str">
        <f>IF('Database Server Info'!K5&lt;&gt;"Not Virtualized",IF('Virtualized Config Checklist1'!H8 = "", IF('Virtualized Config Checklist1'!I8 = "Not Applicable","N/A","Missing"), "Complete"),"N/A")</f>
        <v>Missing</v>
      </c>
      <c r="H37" s="23" t="s">
        <v>281</v>
      </c>
      <c r="I37" s="24" t="str">
        <f>IF('Citrix or Terminal Server Info'!H5="Select One:","Info Needed",IF('Citrix or Terminal Server Info'!H5="No",IF('Physical Config Checklist '!L17="","Info Needed",IF('Physical Config Checklist '!L17&gt;'Physical Config Checklist '!M17,"Not in Spec","In Spec")),"N/A"))</f>
        <v>Info Needed</v>
      </c>
      <c r="J37" s="23" t="s">
        <v>288</v>
      </c>
    </row>
    <row r="38" spans="1:10">
      <c r="A38" s="23" t="s">
        <v>179</v>
      </c>
      <c r="B38" s="23" t="str">
        <f>IF('Citrix or Terminal Server Info'!H3&lt;&gt;"No",IF('Virtualized Config Checklist1'!S5= "", "Missing", "Complete"),"N/A")</f>
        <v>Missing</v>
      </c>
      <c r="H38" s="23" t="s">
        <v>274</v>
      </c>
      <c r="I38" s="24" t="str">
        <f>IF('Citrix or Terminal Server Info'!H5="Select One:","Info Needed",IF('Citrix or Terminal Server Info'!H5="No",IF('Physical Config Checklist '!L18="","Info Needed",IF('Physical Config Checklist '!L18&gt;='Physical Config Checklist '!M18,"In Spec","Not in Spec")),"N/A"))</f>
        <v>Info Needed</v>
      </c>
      <c r="J38" s="23" t="s">
        <v>289</v>
      </c>
    </row>
    <row r="39" spans="1:10">
      <c r="A39" s="23" t="s">
        <v>180</v>
      </c>
      <c r="B39" s="23" t="str">
        <f>IF('Citrix or Terminal Server Info'!H3&lt;&gt;"No",IF('Virtualized Config Checklist1'!S6= "", "Missing", "Complete"),"N/A")</f>
        <v>Missing</v>
      </c>
      <c r="H39" s="23" t="s">
        <v>280</v>
      </c>
      <c r="I39" s="24" t="str">
        <f>IF('Citrix or Terminal Server Info'!H5="Select One:","Info Needed",IF('Citrix or Terminal Server Info'!H5="No",IF('Physical Config Checklist '!L20=0,"Info Needed",IF('Physical Config Checklist '!L20&gt;='Physical Config Checklist '!M20,"In Spec","Not in Spec")),"N/A"))</f>
        <v>Info Needed</v>
      </c>
      <c r="J39" s="23" t="s">
        <v>290</v>
      </c>
    </row>
    <row r="40" spans="1:10">
      <c r="A40" s="23" t="s">
        <v>181</v>
      </c>
      <c r="B40" s="23" t="str">
        <f>IF('Citrix or Terminal Server Info'!H3&lt;&gt;"No",IF('Virtualized Config Checklist1'!S7= "", "Missing", "Complete"),"N/A")</f>
        <v>Missing</v>
      </c>
      <c r="H40" s="23" t="s">
        <v>292</v>
      </c>
      <c r="I40" s="24" t="str">
        <f>IF('Database Server Info'!K3="Select One:","Info Needed",IF('Database Server Info'!K3="Not Virtualized",IF('Physical Config Checklist '!G10="Select One:","Info Needed",IF('Physical Config Checklist '!G10="7200 RPM","Not in Spec","In Spec")),"N/A"))</f>
        <v>Info Needed</v>
      </c>
      <c r="J40" s="23" t="s">
        <v>311</v>
      </c>
    </row>
    <row r="41" spans="1:10">
      <c r="A41" s="23" t="s">
        <v>182</v>
      </c>
      <c r="B41" s="23" t="str">
        <f>IF('Citrix or Terminal Server Info'!H3&lt;&gt;"No",IF('Virtualized Config Checklist1'!S8= "", "Missing", "Complete"),"N/A")</f>
        <v>Missing</v>
      </c>
      <c r="H41" s="23" t="s">
        <v>293</v>
      </c>
      <c r="I41" s="24" t="str">
        <f>IF('Database Server Info'!K3="Select One:","Info Needed",IF('Database Server Info'!K3="Not Virtualized",IF('Physical Config Checklist '!G13="","Info Needed",IF('Physical Config Checklist '!G13&gt;='Physical Config Checklist '!H13,"In Spec","Not in Spec")),"N/A"))</f>
        <v>Info Needed</v>
      </c>
      <c r="J41" s="23" t="s">
        <v>305</v>
      </c>
    </row>
    <row r="42" spans="1:10">
      <c r="A42" s="23" t="s">
        <v>183</v>
      </c>
      <c r="B42" s="23" t="str">
        <f>IF(OR('Database Server Info'!K3&lt;&gt;"Not Virtualized",'Citrix or Terminal Server Info'!H3&lt;&gt;"No"),IF('Virtualized Config Checklist1'!D50="","Missing","Complete"),"N/A")</f>
        <v>Missing</v>
      </c>
      <c r="C42" t="s">
        <v>195</v>
      </c>
      <c r="H42" s="23" t="s">
        <v>294</v>
      </c>
      <c r="I42" s="24" t="str">
        <f>IF('Database Server Info'!K3="Select One:","Info Needed",IF('Database Server Info'!K3="Not Virtualized",IF('Physical Config Checklist '!G14="","Info Needed",IF('Physical Config Checklist '!G14&gt;='Physical Config Checklist '!H14,"In Spec","Not in Spec")),"N/A"))</f>
        <v>Info Needed</v>
      </c>
      <c r="J42" s="23" t="s">
        <v>306</v>
      </c>
    </row>
    <row r="43" spans="1:10">
      <c r="A43" s="23" t="s">
        <v>184</v>
      </c>
      <c r="B43" s="23" t="str">
        <f>IF('Database Server Info'!K3&lt;&gt;"Not Virtualized",IF('Citrix or Terminal Server Info'!H3&lt;&gt;"No",IF('Virtualized Config Checklist1'!D51= "", "Missing", "Complete"),"N/A"),"N/A")</f>
        <v>Missing</v>
      </c>
      <c r="C43" t="s">
        <v>195</v>
      </c>
      <c r="H43" s="23" t="s">
        <v>295</v>
      </c>
      <c r="I43" s="24" t="str">
        <f>IF('Database Server Info'!K3="Select One:","Info Needed",IF('Database Server Info'!K3="Not Virtualized",IF('Physical Config Checklist '!G15="Select One:","Info Needed",IF('Physical Config Checklist '!G15="Win Svr 08 R2","In Spec","Not in Spec")),"N/A"))</f>
        <v>Info Needed</v>
      </c>
      <c r="J43" s="23" t="s">
        <v>307</v>
      </c>
    </row>
    <row r="44" spans="1:10">
      <c r="A44" s="23" t="s">
        <v>185</v>
      </c>
      <c r="B44" s="23" t="str">
        <f>IF(AND('Database Server Info'!K3&lt;&gt;"Not Virtualized",'Citrix or Terminal Server Info'!H3&lt;&gt;"No"),IF('Virtualized Config Checklist1'!D52= "", "Missing", "Complete"),"N/A")</f>
        <v>Missing</v>
      </c>
      <c r="C44" t="s">
        <v>195</v>
      </c>
      <c r="D44" t="s">
        <v>196</v>
      </c>
      <c r="H44" s="23" t="s">
        <v>296</v>
      </c>
      <c r="I44" s="24" t="str">
        <f>IF('Database Server Info'!K3="Select One:","Info Needed",IF('Database Server Info'!K3="Not Virtualized",IF('Physical Config Checklist '!G16="","Info Needed",IF('Physical Config Checklist '!G16&gt;='Physical Config Checklist '!H16,"In Spec","Not in Spec")),"N/A"))</f>
        <v>Info Needed</v>
      </c>
      <c r="J44" s="23" t="s">
        <v>308</v>
      </c>
    </row>
    <row r="45" spans="1:10">
      <c r="A45" s="23" t="s">
        <v>186</v>
      </c>
      <c r="B45" s="23" t="str">
        <f>IF(AND('Database Server Info'!K3&lt;&gt;"Not Virtualized",'Citrix or Terminal Server Info'!H3&lt;&gt;"No"),IF('Virtualized Config Checklist1'!D53= "", "Missing", "Complete"),"N/A")</f>
        <v>Missing</v>
      </c>
      <c r="C45" t="s">
        <v>195</v>
      </c>
      <c r="H45" s="23" t="s">
        <v>297</v>
      </c>
      <c r="I45" s="24" t="str">
        <f>IF('Database Server Info'!K3="Select One:","Info Needed",IF('Database Server Info'!K3="Not Virtualized",IF('Physical Config Checklist '!G17="Select One:","Info Needed",IF('Physical Config Checklist '!G17="Raid1 or 10","In Spec","Not in Spec")),"N/A"))</f>
        <v>Info Needed</v>
      </c>
      <c r="J45" s="23" t="s">
        <v>309</v>
      </c>
    </row>
    <row r="46" spans="1:10">
      <c r="A46" s="23" t="s">
        <v>187</v>
      </c>
      <c r="B46" s="23" t="str">
        <f>IF(AND('Database Server Info'!K3&lt;&gt;"Not Virtualized",'Citrix or Terminal Server Info'!H3&lt;&gt;"No"),IF('Virtualized Config Checklist1'!D54= "", "Missing", "Complete"),"N/A")</f>
        <v>Missing</v>
      </c>
      <c r="C46" t="s">
        <v>195</v>
      </c>
      <c r="H46" s="23" t="s">
        <v>298</v>
      </c>
      <c r="I46" s="24" t="str">
        <f>IF('Database Server Info'!K3="Select One:","Info Needed",IF('Database Server Info'!K3="Not Virtualized",IF('Physical Config Checklist '!G19=0,"Info Needed",IF('Physical Config Checklist '!G19&gt;='Physical Config Checklist '!H19,"In Spec","Not in Spec")),"N/A"))</f>
        <v>Info Needed</v>
      </c>
      <c r="J46" s="23" t="s">
        <v>310</v>
      </c>
    </row>
    <row r="47" spans="1:10">
      <c r="A47" s="23" t="s">
        <v>188</v>
      </c>
      <c r="B47" s="23" t="str">
        <f>IF(AND('Database Server Info'!K3&lt;&gt;"Not Virtualized",'Citrix or Terminal Server Info'!H3&lt;&gt;"No"),IF('Virtualized Config Checklist1'!I50= "", "Missing", "Complete"),"N/A")</f>
        <v>Missing</v>
      </c>
      <c r="C47" t="s">
        <v>195</v>
      </c>
      <c r="H47" s="5"/>
      <c r="I47" s="5"/>
      <c r="J47" s="5"/>
    </row>
    <row r="48" spans="1:10">
      <c r="A48" s="23" t="s">
        <v>189</v>
      </c>
      <c r="B48" s="23" t="str">
        <f>IF(AND('Database Server Info'!K3&lt;&gt;"Not Virtualized",'Citrix or Terminal Server Info'!H3&lt;&gt;"No"),IF('Virtualized Config Checklist1'!I51= "", "Missing", "Complete"),"N/A")</f>
        <v>Missing</v>
      </c>
      <c r="C48" t="s">
        <v>195</v>
      </c>
      <c r="H48" s="5"/>
      <c r="I48" s="5"/>
      <c r="J48" s="5"/>
    </row>
    <row r="49" spans="1:10">
      <c r="A49" s="23" t="s">
        <v>190</v>
      </c>
      <c r="B49" s="23" t="str">
        <f>IF(AND('Database Server Info'!K3&lt;&gt;"Not Virtualized",'Citrix or Terminal Server Info'!H3&lt;&gt;"No"),IF('Virtualized Config Checklist1'!I52= "Select One:", "Missing", "Complete"),"N/A")</f>
        <v>Missing</v>
      </c>
      <c r="C49" t="s">
        <v>195</v>
      </c>
      <c r="H49" s="5"/>
      <c r="I49" s="5"/>
      <c r="J49" s="5"/>
    </row>
    <row r="50" spans="1:10">
      <c r="A50" s="23" t="s">
        <v>191</v>
      </c>
      <c r="B50" s="23" t="str">
        <f>IF(AND('Database Server Info'!K3&lt;&gt;"Not Virtualized",'Citrix or Terminal Server Info'!H3&lt;&gt;"No"),IF('Virtualized Config Checklist1'!I53= "", "Missing", "Complete"),"N/A")</f>
        <v>Complete</v>
      </c>
      <c r="C50" t="s">
        <v>195</v>
      </c>
      <c r="H50" s="5"/>
      <c r="I50" s="5"/>
      <c r="J50" s="5"/>
    </row>
    <row r="51" spans="1:10">
      <c r="A51" s="23" t="s">
        <v>192</v>
      </c>
      <c r="B51" s="23" t="str">
        <f>IF(AND('Database Server Info'!K3&lt;&gt;"Not Virtualized",'Citrix or Terminal Server Info'!H3&lt;&gt;"No"),IF('Virtualized Config Checklist1'!T50= "Select One:", "Missing", "Complete"),"N/A")</f>
        <v>Complete</v>
      </c>
      <c r="C51" t="s">
        <v>195</v>
      </c>
      <c r="D51" t="s">
        <v>196</v>
      </c>
      <c r="H51" s="5"/>
      <c r="I51" s="5"/>
      <c r="J51" s="5"/>
    </row>
    <row r="52" spans="1:10">
      <c r="A52" s="23" t="s">
        <v>193</v>
      </c>
      <c r="B52" s="23" t="str">
        <f>IF(AND('Database Server Info'!K3&lt;&gt;"Not Virtualized",'Citrix or Terminal Server Info'!H3&lt;&gt;"No"),IF('Virtualized Config Checklist1'!T51= "Select One:", "Missing", "Complete"),"N/A")</f>
        <v>Complete</v>
      </c>
      <c r="C52" t="s">
        <v>195</v>
      </c>
      <c r="D52" t="s">
        <v>196</v>
      </c>
      <c r="H52" s="5"/>
      <c r="I52" s="5"/>
      <c r="J52" s="5"/>
    </row>
    <row r="53" spans="1:10">
      <c r="A53" s="23" t="s">
        <v>194</v>
      </c>
      <c r="B53" s="23" t="str">
        <f>IF(AND('Database Server Info'!K3&lt;&gt;"Not Virtualized",'Citrix or Terminal Server Info'!H3&lt;&gt;"No"),IF('Virtualized Config Checklist1'!T53= "", "Missing", "Complete"),"N/A")</f>
        <v>Missing</v>
      </c>
      <c r="C53" t="s">
        <v>195</v>
      </c>
      <c r="H53" s="5"/>
      <c r="I53" s="5"/>
      <c r="J53" s="5"/>
    </row>
    <row r="54" spans="1:10">
      <c r="A54" s="23" t="s">
        <v>222</v>
      </c>
      <c r="B54" s="23" t="str">
        <f>IF('Database Server Info'!K3="Not Virtualized",IF('Physical Config Checklist '!B5= "", "Missing", "Complete"),"N/A")</f>
        <v>N/A</v>
      </c>
      <c r="C54" t="s">
        <v>195</v>
      </c>
      <c r="H54" s="5"/>
      <c r="I54" s="5"/>
      <c r="J54" s="5"/>
    </row>
    <row r="55" spans="1:10">
      <c r="A55" s="23" t="s">
        <v>223</v>
      </c>
      <c r="B55" s="23" t="str">
        <f>IF('Database Server Info'!K3="Not Virtualized",IF('Physical Config Checklist '!B6= "", "Missing", "Complete"),"N/A")</f>
        <v>N/A</v>
      </c>
      <c r="H55" s="5"/>
      <c r="I55" s="5"/>
      <c r="J55" s="5"/>
    </row>
    <row r="56" spans="1:10">
      <c r="A56" s="23" t="s">
        <v>224</v>
      </c>
      <c r="B56" s="23" t="str">
        <f>IF('Database Server Info'!K3="Not Virtualized",IF('Physical Config Checklist '!B7= "Select One:", "Missing", "Complete"),"N/A")</f>
        <v>N/A</v>
      </c>
      <c r="H56" s="5"/>
      <c r="I56" s="5"/>
      <c r="J56" s="5"/>
    </row>
    <row r="57" spans="1:10">
      <c r="A57" s="23" t="s">
        <v>225</v>
      </c>
      <c r="B57" s="23" t="str">
        <f>IF('Database Server Info'!K3="Not Virtualized",IF('Physical Config Checklist '!B7= "Select One:", "Missing", "Complete"),"N/A")</f>
        <v>N/A</v>
      </c>
      <c r="H57" s="5"/>
      <c r="I57" s="5"/>
      <c r="J57" s="5"/>
    </row>
    <row r="58" spans="1:10">
      <c r="A58" s="23" t="s">
        <v>226</v>
      </c>
      <c r="B58" s="23" t="str">
        <f>IF('Database Server Info'!K3="Not Virtualized",IF('Physical Config Checklist '!B9= "Select One:", "Missing", "Complete"),"N/A")</f>
        <v>N/A</v>
      </c>
      <c r="H58" s="5"/>
      <c r="I58" s="5"/>
      <c r="J58" s="5"/>
    </row>
    <row r="59" spans="1:10">
      <c r="A59" s="23" t="s">
        <v>227</v>
      </c>
      <c r="B59" s="23" t="str">
        <f>IF('Database Server Info'!K3="Not Virtualized",IF('Physical Config Checklist '!B10= "Select One:", "Missing", "Complete"),"N/A")</f>
        <v>N/A</v>
      </c>
      <c r="H59" s="5"/>
      <c r="I59" s="5"/>
      <c r="J59" s="5"/>
    </row>
    <row r="60" spans="1:10">
      <c r="A60" s="23" t="s">
        <v>228</v>
      </c>
      <c r="B60" s="23" t="str">
        <f>IF('Database Server Info'!K3="Not Virtualized",IF('Physical Config Checklist '!B11= "", "Missing", "Complete"),"N/A")</f>
        <v>N/A</v>
      </c>
      <c r="H60" s="5"/>
      <c r="I60" s="5"/>
      <c r="J60" s="5"/>
    </row>
    <row r="61" spans="1:10">
      <c r="A61" s="23" t="s">
        <v>229</v>
      </c>
      <c r="B61" s="23" t="str">
        <f>IF('Database Server Info'!K3="Not Virtualized",IF('Physical Config Checklist '!B13= "", "Missing", "Complete"),"N/A")</f>
        <v>N/A</v>
      </c>
      <c r="H61" s="5"/>
      <c r="I61" s="5"/>
      <c r="J61" s="5"/>
    </row>
    <row r="62" spans="1:10">
      <c r="A62" s="23" t="s">
        <v>230</v>
      </c>
      <c r="B62" s="23" t="str">
        <f>IF('Database Server Info'!K3="Not Virtualized",IF('Physical Config Checklist '!B14= "", "Missing", "Complete"),"N/A")</f>
        <v>N/A</v>
      </c>
      <c r="H62" s="5"/>
      <c r="I62" s="5"/>
      <c r="J62" s="5"/>
    </row>
    <row r="63" spans="1:10">
      <c r="A63" s="23" t="s">
        <v>231</v>
      </c>
      <c r="B63" s="23" t="str">
        <f>IF('Database Server Info'!K3="Not Virtualized",IF('Physical Config Checklist '!B15= "Select One:", "Missing", "Complete"),"N/A")</f>
        <v>N/A</v>
      </c>
      <c r="H63" s="5"/>
      <c r="I63" s="5"/>
      <c r="J63" s="5"/>
    </row>
    <row r="64" spans="1:10">
      <c r="A64" s="23" t="s">
        <v>232</v>
      </c>
      <c r="B64" s="23" t="str">
        <f>IF('Database Server Info'!K3="Not Virtualized",IF('Physical Config Checklist '!B16= "", "Missing", "Complete"),"N/A")</f>
        <v>N/A</v>
      </c>
      <c r="H64" s="5"/>
      <c r="I64" s="5"/>
      <c r="J64" s="5"/>
    </row>
    <row r="65" spans="1:10">
      <c r="A65" s="23" t="s">
        <v>233</v>
      </c>
      <c r="B65" s="23" t="str">
        <f>IF('Database Server Info'!K3="Not Virtualized",IF('Physical Config Checklist '!B17= "Select One:", "Missing", "Complete"),"N/A")</f>
        <v>N/A</v>
      </c>
      <c r="H65" s="5"/>
      <c r="I65" s="5"/>
      <c r="J65" s="5"/>
    </row>
    <row r="66" spans="1:10">
      <c r="A66" s="23" t="s">
        <v>234</v>
      </c>
      <c r="B66" s="23" t="str">
        <f>IF('Database Server Info'!K3="Not Virtualized",IF('Physical Config Checklist '!B22= "", "Missing", "Complete"),"N/A")</f>
        <v>N/A</v>
      </c>
      <c r="H66" s="5"/>
      <c r="I66" s="5"/>
      <c r="J66" s="5"/>
    </row>
    <row r="67" spans="1:10">
      <c r="A67" s="23" t="s">
        <v>235</v>
      </c>
      <c r="B67" s="23" t="str">
        <f>IF('Database Server Info'!K3="Not Virtualized",IF('Physical Config Checklist '!B23= "", "Missing", "Complete"),"N/A")</f>
        <v>N/A</v>
      </c>
      <c r="H67" s="5"/>
      <c r="I67" s="5"/>
      <c r="J67" s="5"/>
    </row>
    <row r="68" spans="1:10">
      <c r="A68" s="23" t="s">
        <v>236</v>
      </c>
      <c r="B68" s="23" t="str">
        <f>IF('Database Server Info'!K3="Not Virtualized",IF('Physical Config Checklist '!B24= "Select One:", "Missing", "Complete"),"N/A")</f>
        <v>N/A</v>
      </c>
      <c r="H68" s="5"/>
      <c r="I68" s="5"/>
      <c r="J68" s="5"/>
    </row>
    <row r="69" spans="1:10">
      <c r="A69" s="23" t="s">
        <v>237</v>
      </c>
      <c r="B69" s="23" t="str">
        <f>IF('Database Server Info'!K3="Not Virtualized",IF('Physical Config Checklist '!B26= "", "Missing", "Complete"),"N/A")</f>
        <v>N/A</v>
      </c>
      <c r="H69" s="5"/>
      <c r="I69" s="5"/>
      <c r="J69" s="5"/>
    </row>
    <row r="70" spans="1:10">
      <c r="A70" s="23" t="s">
        <v>238</v>
      </c>
      <c r="B70" s="23" t="str">
        <f>IF('Database Server Info'!K3="Not Virtualized",IF('Physical Config Checklist '!B27= "", "Missing", "Complete"),"N/A")</f>
        <v>N/A</v>
      </c>
      <c r="H70" s="5"/>
      <c r="I70" s="5"/>
      <c r="J70" s="5"/>
    </row>
    <row r="71" spans="1:10">
      <c r="A71" s="23" t="s">
        <v>239</v>
      </c>
      <c r="B71" s="23" t="str">
        <f>IF('Database Server Info'!K3="Not Virtualized",IF('Physical Config Checklist '!B28= "Select One:", "Missing", "Complete"),"N/A")</f>
        <v>N/A</v>
      </c>
      <c r="H71" s="5"/>
      <c r="I71" s="5"/>
      <c r="J71" s="5"/>
    </row>
    <row r="72" spans="1:10">
      <c r="A72" s="23" t="s">
        <v>240</v>
      </c>
      <c r="B72" s="23" t="str">
        <f>IF('Database Server Info'!K3="Not Virtualized",IF('Physical Config Checklist '!L5= "", "Missing", "Complete"),"N/A")</f>
        <v>N/A</v>
      </c>
      <c r="H72" s="5"/>
      <c r="I72" s="5"/>
      <c r="J72" s="5"/>
    </row>
    <row r="73" spans="1:10">
      <c r="A73" s="23" t="s">
        <v>241</v>
      </c>
      <c r="B73" s="23" t="str">
        <f>IF('Database Server Info'!K3="Not Virtualized",IF('Physical Config Checklist '!L6= "", "Missing", "Complete"),"N/A")</f>
        <v>N/A</v>
      </c>
      <c r="H73" s="5"/>
      <c r="I73" s="5"/>
      <c r="J73" s="5"/>
    </row>
    <row r="74" spans="1:10">
      <c r="A74" s="23" t="s">
        <v>242</v>
      </c>
      <c r="B74" s="23" t="str">
        <f>IF('Database Server Info'!K3="Not Virtualized",IF('Physical Config Checklist '!L7= "Select One:", "Missing", "Complete"),"N/A")</f>
        <v>N/A</v>
      </c>
      <c r="H74" s="5"/>
      <c r="I74" s="5"/>
      <c r="J74" s="5"/>
    </row>
    <row r="75" spans="1:10">
      <c r="A75" s="23" t="s">
        <v>243</v>
      </c>
      <c r="B75" s="23" t="str">
        <f>IF('Database Server Info'!K3="Not Virtualized",IF('Physical Config Checklist '!L8= "", "Missing", "Complete"),"N/A")</f>
        <v>N/A</v>
      </c>
      <c r="H75" s="5"/>
      <c r="I75" s="5"/>
      <c r="J75" s="5"/>
    </row>
    <row r="76" spans="1:10">
      <c r="A76" s="23" t="s">
        <v>244</v>
      </c>
      <c r="B76" s="23" t="str">
        <f>IF('Database Server Info'!K3="Not Virtualized",IF('Physical Config Checklist '!L9= "", "Missing", "Complete"),"N/A")</f>
        <v>N/A</v>
      </c>
      <c r="H76" s="5"/>
      <c r="I76" s="5"/>
      <c r="J76" s="5"/>
    </row>
    <row r="77" spans="1:10">
      <c r="A77" s="23" t="s">
        <v>245</v>
      </c>
      <c r="B77" s="23" t="str">
        <f>IF('Database Server Info'!K3="Not Virtualized",IF('Physical Config Checklist '!L11= "", "Missing", "Complete"),"N/A")</f>
        <v>N/A</v>
      </c>
      <c r="H77" s="5"/>
      <c r="I77" s="5"/>
      <c r="J77" s="5"/>
    </row>
    <row r="78" spans="1:10">
      <c r="A78" s="23" t="s">
        <v>246</v>
      </c>
      <c r="B78" s="23" t="str">
        <f>IF('Database Server Info'!K3="Not Virtualized",IF('Physical Config Checklist '!L12= "", "Missing", "Complete"),"N/A")</f>
        <v>N/A</v>
      </c>
      <c r="H78" s="5"/>
      <c r="I78" s="5"/>
      <c r="J78" s="5"/>
    </row>
    <row r="79" spans="1:10">
      <c r="A79" s="23" t="s">
        <v>247</v>
      </c>
      <c r="B79" s="23" t="str">
        <f>IF('Database Server Info'!K3="Not Virtualized",IF('Physical Config Checklist '!L13= "Select One:", "Missing", "Complete"),"N/A")</f>
        <v>N/A</v>
      </c>
      <c r="H79" s="5"/>
      <c r="I79" s="5"/>
      <c r="J79" s="5"/>
    </row>
    <row r="80" spans="1:10">
      <c r="A80" s="23" t="s">
        <v>248</v>
      </c>
      <c r="B80" s="23" t="str">
        <f>IF('Database Server Info'!K3="Not Virtualized",IF('Physical Config Checklist '!L14= "", "Missing", "Complete"),"N/A")</f>
        <v>N/A</v>
      </c>
      <c r="H80" s="5"/>
      <c r="I80" s="5"/>
      <c r="J80" s="5"/>
    </row>
    <row r="81" spans="1:10">
      <c r="A81" s="23" t="s">
        <v>249</v>
      </c>
      <c r="B81" s="23" t="str">
        <f>IF('Database Server Info'!K3="Not Virtualized",IF('Physical Config Checklist '!L15= "Select One:", "Missing", "Complete"),"N/A")</f>
        <v>N/A</v>
      </c>
      <c r="H81" s="5"/>
      <c r="I81" s="5"/>
      <c r="J81" s="5"/>
    </row>
    <row r="82" spans="1:10">
      <c r="A82" s="23" t="s">
        <v>250</v>
      </c>
      <c r="B82" s="23" t="str">
        <f>IF('Database Server Info'!K3="Not Virtualized",IF('Physical Config Checklist '!L16= "", "Missing", "Complete"),"N/A")</f>
        <v>N/A</v>
      </c>
      <c r="H82" s="5"/>
      <c r="I82" s="5"/>
      <c r="J82" s="5"/>
    </row>
    <row r="83" spans="1:10">
      <c r="A83" s="23" t="s">
        <v>251</v>
      </c>
      <c r="B83" s="23" t="str">
        <f>IF('Database Server Info'!K3="Not Virtualized",IF('Physical Config Checklist '!L17= "", "Missing", "Complete"),"N/A")</f>
        <v>N/A</v>
      </c>
      <c r="H83" s="5"/>
      <c r="I83" s="5"/>
      <c r="J83" s="5"/>
    </row>
    <row r="84" spans="1:10">
      <c r="A84" s="23" t="s">
        <v>252</v>
      </c>
      <c r="B84" s="23" t="str">
        <f>IF('Database Server Info'!K3="Not Virtualized",IF('Physical Config Checklist '!L18= "", "Missing", "Complete"),"N/A")</f>
        <v>N/A</v>
      </c>
      <c r="H84" s="5"/>
      <c r="I84" s="5"/>
      <c r="J84" s="5"/>
    </row>
    <row r="85" spans="1:10">
      <c r="A85" s="5"/>
      <c r="B85" s="5"/>
      <c r="F85" s="5"/>
      <c r="H85" s="5"/>
      <c r="I85" s="5"/>
      <c r="J85" s="5"/>
    </row>
    <row r="86" spans="1:10">
      <c r="A86" s="5"/>
      <c r="B86" s="5"/>
      <c r="C86" s="5"/>
      <c r="D86" s="5"/>
      <c r="E86" s="5"/>
      <c r="F86" s="5"/>
      <c r="H86" s="5"/>
      <c r="I86" s="5"/>
      <c r="J86" s="5"/>
    </row>
    <row r="87" spans="1:10" s="5" customFormat="1"/>
    <row r="88" spans="1:10" s="5" customFormat="1"/>
    <row r="89" spans="1:10" s="5" customFormat="1"/>
    <row r="90" spans="1:10" s="5" customFormat="1"/>
    <row r="91" spans="1:10" s="5" customFormat="1"/>
    <row r="92" spans="1:10" s="5" customFormat="1"/>
    <row r="93" spans="1:10" s="5" customFormat="1"/>
    <row r="94" spans="1:10" s="5" customFormat="1"/>
    <row r="95" spans="1:10" s="5" customFormat="1"/>
    <row r="96" spans="1:10"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pans="1:10" s="5" customFormat="1"/>
    <row r="114" spans="1:10" s="5" customFormat="1">
      <c r="A114"/>
      <c r="B114"/>
    </row>
    <row r="115" spans="1:10" s="5" customFormat="1">
      <c r="A115"/>
      <c r="B115"/>
      <c r="C115"/>
      <c r="D115"/>
      <c r="E115"/>
      <c r="F115"/>
    </row>
    <row r="116" spans="1:10">
      <c r="H116" s="5"/>
      <c r="I116" s="5"/>
      <c r="J116" s="5"/>
    </row>
    <row r="117" spans="1:10">
      <c r="H117" s="5"/>
      <c r="I117" s="5"/>
      <c r="J117" s="5"/>
    </row>
    <row r="118" spans="1:10">
      <c r="H118" s="5"/>
      <c r="I118" s="5"/>
      <c r="J118" s="5"/>
    </row>
    <row r="119" spans="1:10">
      <c r="H119" s="5"/>
      <c r="I119" s="5"/>
      <c r="J119" s="5"/>
    </row>
    <row r="120" spans="1:10">
      <c r="H120" s="5"/>
      <c r="I120" s="5"/>
      <c r="J120" s="5"/>
    </row>
    <row r="121" spans="1:10">
      <c r="H121" s="5"/>
      <c r="I121" s="5"/>
      <c r="J121" s="5"/>
    </row>
    <row r="122" spans="1:10">
      <c r="H122" s="5"/>
      <c r="I122" s="5"/>
      <c r="J122" s="5"/>
    </row>
    <row r="123" spans="1:10">
      <c r="H123" s="5"/>
      <c r="I123" s="5"/>
      <c r="J123" s="5"/>
    </row>
    <row r="124" spans="1:10">
      <c r="H124" s="5"/>
      <c r="I124" s="5"/>
      <c r="J124" s="5"/>
    </row>
    <row r="125" spans="1:10">
      <c r="H125" s="5"/>
      <c r="I125" s="5"/>
      <c r="J125" s="5"/>
    </row>
    <row r="126" spans="1:10">
      <c r="H126" s="5"/>
      <c r="I126" s="5"/>
      <c r="J126" s="5"/>
    </row>
    <row r="127" spans="1:10">
      <c r="H127" s="5"/>
      <c r="I127" s="5"/>
      <c r="J127" s="5"/>
    </row>
    <row r="128" spans="1:10">
      <c r="H128" s="5"/>
      <c r="I128" s="5"/>
      <c r="J128" s="5"/>
    </row>
    <row r="129" spans="8:10">
      <c r="H129" s="5"/>
      <c r="I129" s="5"/>
      <c r="J129" s="5"/>
    </row>
    <row r="130" spans="8:10">
      <c r="H130" s="5"/>
      <c r="I130" s="5"/>
      <c r="J130" s="5"/>
    </row>
    <row r="131" spans="8:10">
      <c r="H131" s="5"/>
      <c r="I131" s="5"/>
      <c r="J131" s="5"/>
    </row>
    <row r="132" spans="8:10">
      <c r="H132" s="5"/>
      <c r="I132" s="5"/>
      <c r="J132" s="5"/>
    </row>
    <row r="133" spans="8:10">
      <c r="H133" s="5"/>
      <c r="I133" s="5"/>
      <c r="J133" s="5"/>
    </row>
    <row r="134" spans="8:10">
      <c r="H134" s="5"/>
      <c r="I134" s="5"/>
      <c r="J134" s="5"/>
    </row>
    <row r="135" spans="8:10">
      <c r="H135" s="5"/>
      <c r="I135" s="5"/>
      <c r="J135" s="5"/>
    </row>
    <row r="136" spans="8:10">
      <c r="H136" s="5"/>
      <c r="I136" s="5"/>
      <c r="J136" s="5"/>
    </row>
    <row r="137" spans="8:10">
      <c r="H137" s="5"/>
      <c r="I137" s="5"/>
      <c r="J137" s="5"/>
    </row>
    <row r="138" spans="8:10">
      <c r="H138" s="5"/>
      <c r="I138" s="5"/>
      <c r="J138" s="5"/>
    </row>
    <row r="139" spans="8:10">
      <c r="H139" s="5"/>
      <c r="I139" s="5"/>
      <c r="J139" s="5"/>
    </row>
    <row r="140" spans="8:10">
      <c r="H140" s="5"/>
      <c r="I140" s="5"/>
      <c r="J140" s="5"/>
    </row>
    <row r="141" spans="8:10">
      <c r="H141" s="5"/>
      <c r="I141" s="5"/>
      <c r="J141" s="5"/>
    </row>
    <row r="142" spans="8:10">
      <c r="H142" s="5"/>
      <c r="I142" s="5"/>
      <c r="J142" s="5"/>
    </row>
    <row r="143" spans="8:10">
      <c r="H143" s="5"/>
      <c r="I143" s="5"/>
      <c r="J143" s="5"/>
    </row>
    <row r="144" spans="8:10">
      <c r="H144" s="5"/>
      <c r="I144" s="5"/>
      <c r="J144" s="5"/>
    </row>
    <row r="145" spans="8:10">
      <c r="H145" s="5"/>
      <c r="I145" s="5"/>
      <c r="J145" s="5"/>
    </row>
    <row r="146" spans="8:10">
      <c r="H146" s="5"/>
      <c r="I146" s="5"/>
      <c r="J146" s="5"/>
    </row>
    <row r="147" spans="8:10">
      <c r="H147" s="5"/>
      <c r="I147" s="5"/>
      <c r="J147" s="5"/>
    </row>
    <row r="148" spans="8:10">
      <c r="H148" s="5"/>
      <c r="I148" s="5"/>
      <c r="J148" s="5"/>
    </row>
    <row r="149" spans="8:10">
      <c r="H149" s="5"/>
      <c r="I149" s="5"/>
      <c r="J149" s="5"/>
    </row>
    <row r="150" spans="8:10">
      <c r="H150" s="5"/>
      <c r="I150" s="5"/>
      <c r="J150" s="5"/>
    </row>
    <row r="151" spans="8:10">
      <c r="H151" s="5"/>
      <c r="I151" s="5"/>
      <c r="J151" s="5"/>
    </row>
    <row r="152" spans="8:10">
      <c r="H152" s="5"/>
      <c r="I152" s="5"/>
      <c r="J152" s="5"/>
    </row>
    <row r="153" spans="8:10">
      <c r="H153" s="5"/>
      <c r="I153" s="5"/>
      <c r="J153" s="5"/>
    </row>
    <row r="154" spans="8:10">
      <c r="H154" s="5"/>
      <c r="I154" s="5"/>
      <c r="J154" s="5"/>
    </row>
    <row r="155" spans="8:10">
      <c r="H155" s="5"/>
      <c r="I155" s="5"/>
      <c r="J155" s="5"/>
    </row>
    <row r="156" spans="8:10">
      <c r="H156" s="5"/>
      <c r="I156" s="5"/>
      <c r="J156" s="5"/>
    </row>
    <row r="157" spans="8:10">
      <c r="H157" s="5"/>
      <c r="I157" s="5"/>
      <c r="J157" s="5"/>
    </row>
    <row r="158" spans="8:10">
      <c r="H158" s="5"/>
      <c r="I158" s="5"/>
      <c r="J158" s="5"/>
    </row>
    <row r="159" spans="8:10">
      <c r="H159" s="5"/>
      <c r="I159" s="5"/>
      <c r="J159" s="5"/>
    </row>
    <row r="160" spans="8:10">
      <c r="H160" s="5"/>
      <c r="I160" s="5"/>
      <c r="J160" s="5"/>
    </row>
    <row r="161" spans="8:10">
      <c r="H161" s="5"/>
      <c r="I161" s="5"/>
      <c r="J161" s="5"/>
    </row>
    <row r="162" spans="8:10">
      <c r="H162" s="5"/>
      <c r="I162" s="5"/>
      <c r="J162" s="5"/>
    </row>
    <row r="163" spans="8:10">
      <c r="H163" s="5"/>
      <c r="I163" s="5"/>
      <c r="J163" s="5"/>
    </row>
    <row r="164" spans="8:10">
      <c r="H164" s="5"/>
      <c r="I164" s="5"/>
      <c r="J164" s="5"/>
    </row>
    <row r="165" spans="8:10">
      <c r="H165" s="5"/>
      <c r="I165" s="5"/>
      <c r="J165" s="5"/>
    </row>
    <row r="166" spans="8:10">
      <c r="H166" s="5"/>
      <c r="I166" s="5"/>
      <c r="J166" s="5"/>
    </row>
    <row r="167" spans="8:10">
      <c r="H167" s="5"/>
      <c r="I167" s="5"/>
      <c r="J167" s="5"/>
    </row>
    <row r="168" spans="8:10">
      <c r="H168" s="5"/>
      <c r="I168" s="5"/>
      <c r="J168" s="5"/>
    </row>
    <row r="169" spans="8:10">
      <c r="H169" s="5"/>
      <c r="I169" s="5"/>
      <c r="J169" s="5"/>
    </row>
    <row r="170" spans="8:10">
      <c r="H170" s="5"/>
      <c r="I170" s="5"/>
      <c r="J170" s="5"/>
    </row>
    <row r="171" spans="8:10">
      <c r="H171" s="5"/>
      <c r="I171" s="5"/>
      <c r="J171" s="5"/>
    </row>
    <row r="172" spans="8:10">
      <c r="H172" s="5"/>
      <c r="I172" s="5"/>
      <c r="J172" s="5"/>
    </row>
    <row r="173" spans="8:10">
      <c r="H173" s="5"/>
      <c r="I173" s="5"/>
      <c r="J173" s="5"/>
    </row>
    <row r="174" spans="8:10">
      <c r="H174" s="5"/>
      <c r="I174" s="5"/>
      <c r="J174" s="5"/>
    </row>
    <row r="175" spans="8:10">
      <c r="H175" s="5"/>
      <c r="I175" s="5"/>
      <c r="J175" s="5"/>
    </row>
    <row r="176" spans="8:10">
      <c r="H176" s="5"/>
      <c r="I176" s="5"/>
      <c r="J176" s="5"/>
    </row>
    <row r="177" spans="8:10">
      <c r="H177" s="5"/>
      <c r="I177" s="5"/>
      <c r="J177" s="5"/>
    </row>
    <row r="178" spans="8:10">
      <c r="H178" s="5"/>
      <c r="I178" s="5"/>
      <c r="J178" s="5"/>
    </row>
    <row r="179" spans="8:10">
      <c r="H179" s="5"/>
      <c r="I179" s="5"/>
      <c r="J179" s="5"/>
    </row>
    <row r="180" spans="8:10">
      <c r="H180" s="5"/>
      <c r="I180" s="5"/>
      <c r="J180" s="5"/>
    </row>
    <row r="181" spans="8:10">
      <c r="H181" s="5"/>
      <c r="I181" s="5"/>
      <c r="J181" s="5"/>
    </row>
    <row r="182" spans="8:10">
      <c r="H182" s="5"/>
      <c r="I182" s="5"/>
      <c r="J182" s="5"/>
    </row>
    <row r="183" spans="8:10">
      <c r="H183" s="5"/>
      <c r="I183" s="5"/>
      <c r="J183" s="5"/>
    </row>
    <row r="184" spans="8:10">
      <c r="H184" s="5"/>
      <c r="I184" s="5"/>
      <c r="J184" s="5"/>
    </row>
    <row r="185" spans="8:10">
      <c r="H185" s="5"/>
      <c r="I185" s="5"/>
      <c r="J185" s="5"/>
    </row>
    <row r="186" spans="8:10">
      <c r="H186" s="5"/>
      <c r="I186" s="5"/>
      <c r="J186" s="5"/>
    </row>
    <row r="187" spans="8:10">
      <c r="H187" s="5"/>
      <c r="I187" s="5"/>
      <c r="J187" s="5"/>
    </row>
    <row r="188" spans="8:10">
      <c r="H188" s="5"/>
      <c r="I188" s="5"/>
      <c r="J188" s="5"/>
    </row>
    <row r="189" spans="8:10">
      <c r="H189" s="5"/>
      <c r="I189" s="5"/>
      <c r="J189" s="5"/>
    </row>
    <row r="190" spans="8:10">
      <c r="H190" s="5"/>
      <c r="I190" s="5"/>
      <c r="J190" s="5"/>
    </row>
    <row r="191" spans="8:10">
      <c r="H191" s="5"/>
      <c r="I191" s="5"/>
      <c r="J191" s="5"/>
    </row>
    <row r="192" spans="8:10">
      <c r="H192" s="5"/>
      <c r="I192" s="5"/>
      <c r="J192" s="5"/>
    </row>
    <row r="193" spans="8:10">
      <c r="H193" s="5"/>
      <c r="I193" s="5"/>
      <c r="J193" s="5"/>
    </row>
    <row r="194" spans="8:10">
      <c r="H194" s="5"/>
      <c r="I194" s="5"/>
      <c r="J194" s="5"/>
    </row>
    <row r="195" spans="8:10">
      <c r="H195" s="5"/>
      <c r="I195" s="5"/>
      <c r="J195" s="5"/>
    </row>
    <row r="196" spans="8:10">
      <c r="H196" s="5"/>
      <c r="I196" s="5"/>
      <c r="J196" s="5"/>
    </row>
    <row r="197" spans="8:10">
      <c r="H197" s="5"/>
      <c r="I197" s="5"/>
      <c r="J197" s="5"/>
    </row>
    <row r="198" spans="8:10">
      <c r="H198" s="5"/>
      <c r="I198" s="5"/>
      <c r="J198" s="5"/>
    </row>
    <row r="199" spans="8:10">
      <c r="H199" s="5"/>
      <c r="I199" s="5"/>
      <c r="J199" s="5"/>
    </row>
    <row r="200" spans="8:10">
      <c r="H200" s="5"/>
      <c r="I200" s="5"/>
      <c r="J200" s="5"/>
    </row>
    <row r="201" spans="8:10">
      <c r="H201" s="5"/>
      <c r="I201" s="5"/>
      <c r="J201" s="5"/>
    </row>
    <row r="202" spans="8:10">
      <c r="H202" s="5"/>
      <c r="I202" s="5"/>
      <c r="J202" s="5"/>
    </row>
    <row r="203" spans="8:10">
      <c r="H203" s="5"/>
      <c r="I203" s="5"/>
      <c r="J203" s="5"/>
    </row>
    <row r="204" spans="8:10">
      <c r="H204" s="5"/>
      <c r="I204" s="5"/>
      <c r="J204" s="5"/>
    </row>
    <row r="205" spans="8:10">
      <c r="H205" s="5"/>
      <c r="I205" s="5"/>
      <c r="J205" s="5"/>
    </row>
    <row r="206" spans="8:10">
      <c r="H206" s="5"/>
      <c r="I206" s="5"/>
      <c r="J206" s="5"/>
    </row>
    <row r="207" spans="8:10">
      <c r="H207" s="5"/>
      <c r="I207" s="5"/>
      <c r="J207" s="5"/>
    </row>
    <row r="208" spans="8:10">
      <c r="H208" s="5"/>
      <c r="I208" s="5"/>
      <c r="J208" s="5"/>
    </row>
    <row r="209" spans="8:10">
      <c r="H209" s="5"/>
      <c r="I209" s="5"/>
      <c r="J209" s="5"/>
    </row>
    <row r="210" spans="8:10">
      <c r="H210" s="5"/>
      <c r="I210" s="5"/>
      <c r="J210" s="5"/>
    </row>
    <row r="211" spans="8:10">
      <c r="H211" s="5"/>
      <c r="I211" s="5"/>
      <c r="J211" s="5"/>
    </row>
    <row r="212" spans="8:10">
      <c r="H212" s="5"/>
      <c r="I212" s="5"/>
      <c r="J212" s="5"/>
    </row>
    <row r="213" spans="8:10">
      <c r="H213" s="5"/>
      <c r="I213" s="5"/>
      <c r="J213" s="5"/>
    </row>
    <row r="214" spans="8:10">
      <c r="H214" s="5"/>
      <c r="I214" s="5"/>
      <c r="J214" s="5"/>
    </row>
    <row r="215" spans="8:10">
      <c r="H215" s="5"/>
      <c r="I215" s="5"/>
      <c r="J215" s="5"/>
    </row>
    <row r="216" spans="8:10">
      <c r="H216" s="5"/>
      <c r="I216" s="5"/>
      <c r="J216" s="5"/>
    </row>
    <row r="217" spans="8:10">
      <c r="H217" s="5"/>
      <c r="I217" s="5"/>
      <c r="J217" s="5"/>
    </row>
    <row r="218" spans="8:10">
      <c r="H218" s="5"/>
      <c r="I218" s="5"/>
      <c r="J218" s="5"/>
    </row>
    <row r="219" spans="8:10">
      <c r="H219" s="5"/>
      <c r="I219" s="5"/>
      <c r="J219" s="5"/>
    </row>
    <row r="220" spans="8:10">
      <c r="H220" s="5"/>
      <c r="I220" s="5"/>
      <c r="J220" s="5"/>
    </row>
    <row r="221" spans="8:10">
      <c r="H221" s="5"/>
      <c r="I221" s="5"/>
      <c r="J221" s="5"/>
    </row>
    <row r="222" spans="8:10">
      <c r="H222" s="5"/>
      <c r="I222" s="5"/>
      <c r="J222" s="5"/>
    </row>
    <row r="223" spans="8:10">
      <c r="H223" s="5"/>
      <c r="I223" s="5"/>
      <c r="J223" s="5"/>
    </row>
    <row r="224" spans="8:10">
      <c r="H224" s="5"/>
      <c r="I224" s="5"/>
      <c r="J224" s="5"/>
    </row>
    <row r="225" spans="8:10">
      <c r="H225" s="5"/>
      <c r="I225" s="5"/>
      <c r="J225" s="5"/>
    </row>
    <row r="226" spans="8:10">
      <c r="H226" s="5"/>
      <c r="I226" s="5"/>
      <c r="J226" s="5"/>
    </row>
    <row r="227" spans="8:10">
      <c r="H227" s="5"/>
      <c r="I227" s="5"/>
      <c r="J227" s="5"/>
    </row>
    <row r="228" spans="8:10">
      <c r="H228" s="5"/>
      <c r="I228" s="5"/>
      <c r="J228" s="5"/>
    </row>
    <row r="229" spans="8:10">
      <c r="H229" s="5"/>
      <c r="I229" s="5"/>
      <c r="J229" s="5"/>
    </row>
    <row r="230" spans="8:10">
      <c r="H230" s="5"/>
      <c r="I230" s="5"/>
      <c r="J230" s="5"/>
    </row>
    <row r="231" spans="8:10">
      <c r="H231" s="5"/>
      <c r="I231" s="5"/>
      <c r="J231" s="5"/>
    </row>
    <row r="232" spans="8:10">
      <c r="H232" s="5"/>
      <c r="I232" s="5"/>
      <c r="J232" s="5"/>
    </row>
    <row r="233" spans="8:10">
      <c r="H233" s="5"/>
      <c r="I233" s="5"/>
      <c r="J233" s="5"/>
    </row>
    <row r="234" spans="8:10">
      <c r="H234" s="5"/>
      <c r="I234" s="5"/>
      <c r="J234" s="5"/>
    </row>
    <row r="235" spans="8:10">
      <c r="H235" s="5"/>
      <c r="I235" s="5"/>
      <c r="J235" s="5"/>
    </row>
    <row r="236" spans="8:10">
      <c r="H236" s="5"/>
      <c r="I236" s="5"/>
      <c r="J236" s="5"/>
    </row>
    <row r="237" spans="8:10">
      <c r="H237" s="5"/>
      <c r="I237" s="5"/>
      <c r="J237" s="5"/>
    </row>
    <row r="238" spans="8:10">
      <c r="I238" s="5"/>
      <c r="J238" s="5"/>
    </row>
  </sheetData>
  <sheetProtection password="EF36" sheet="1" objects="1" scenarios="1"/>
  <autoFilter ref="A1:J86" xr:uid="{00000000-0009-0000-0000-000009000000}"/>
  <conditionalFormatting sqref="B27 B22">
    <cfRule type="expression" dxfId="344" priority="418" stopIfTrue="1">
      <formula>B22="Complete"</formula>
    </cfRule>
    <cfRule type="expression" dxfId="343" priority="419" stopIfTrue="1">
      <formula>B22="N/A"</formula>
    </cfRule>
    <cfRule type="expression" dxfId="342" priority="420" stopIfTrue="1">
      <formula>$B22="Missing"</formula>
    </cfRule>
  </conditionalFormatting>
  <conditionalFormatting sqref="B23">
    <cfRule type="expression" dxfId="341" priority="415" stopIfTrue="1">
      <formula>B23="Complete"</formula>
    </cfRule>
    <cfRule type="expression" dxfId="340" priority="416" stopIfTrue="1">
      <formula>B23="N/A"</formula>
    </cfRule>
    <cfRule type="expression" dxfId="339" priority="417" stopIfTrue="1">
      <formula>$B23="Missing"</formula>
    </cfRule>
  </conditionalFormatting>
  <conditionalFormatting sqref="B24">
    <cfRule type="expression" dxfId="338" priority="412" stopIfTrue="1">
      <formula>B24="Complete"</formula>
    </cfRule>
    <cfRule type="expression" dxfId="337" priority="413" stopIfTrue="1">
      <formula>B24="N/A"</formula>
    </cfRule>
    <cfRule type="expression" dxfId="336" priority="414" stopIfTrue="1">
      <formula>$B24="Missing"</formula>
    </cfRule>
  </conditionalFormatting>
  <conditionalFormatting sqref="B25">
    <cfRule type="expression" dxfId="335" priority="409" stopIfTrue="1">
      <formula>B25="Complete"</formula>
    </cfRule>
    <cfRule type="expression" dxfId="334" priority="410" stopIfTrue="1">
      <formula>B25="N/A"</formula>
    </cfRule>
    <cfRule type="expression" dxfId="333" priority="411" stopIfTrue="1">
      <formula>$B25="Missing"</formula>
    </cfRule>
  </conditionalFormatting>
  <conditionalFormatting sqref="B26">
    <cfRule type="expression" dxfId="332" priority="406" stopIfTrue="1">
      <formula>B26="Complete"</formula>
    </cfRule>
    <cfRule type="expression" dxfId="331" priority="407" stopIfTrue="1">
      <formula>B26="N/A"</formula>
    </cfRule>
    <cfRule type="expression" dxfId="330" priority="408" stopIfTrue="1">
      <formula>$B26="Missing"</formula>
    </cfRule>
  </conditionalFormatting>
  <conditionalFormatting sqref="B28">
    <cfRule type="expression" dxfId="329" priority="400" stopIfTrue="1">
      <formula>B28="Complete"</formula>
    </cfRule>
    <cfRule type="expression" dxfId="328" priority="401" stopIfTrue="1">
      <formula>B28="N/A"</formula>
    </cfRule>
    <cfRule type="expression" dxfId="327" priority="402" stopIfTrue="1">
      <formula>$B28="Missing"</formula>
    </cfRule>
  </conditionalFormatting>
  <conditionalFormatting sqref="B29:B30">
    <cfRule type="expression" dxfId="326" priority="397" stopIfTrue="1">
      <formula>B29="Complete"</formula>
    </cfRule>
    <cfRule type="expression" dxfId="325" priority="398" stopIfTrue="1">
      <formula>B29="N/A"</formula>
    </cfRule>
    <cfRule type="expression" dxfId="324" priority="399" stopIfTrue="1">
      <formula>$B29="Missing"</formula>
    </cfRule>
  </conditionalFormatting>
  <conditionalFormatting sqref="B31">
    <cfRule type="expression" dxfId="323" priority="394" stopIfTrue="1">
      <formula>B31="Complete"</formula>
    </cfRule>
    <cfRule type="expression" dxfId="322" priority="395" stopIfTrue="1">
      <formula>B31="N/A"</formula>
    </cfRule>
    <cfRule type="expression" dxfId="321" priority="396" stopIfTrue="1">
      <formula>$B31="Missing"</formula>
    </cfRule>
  </conditionalFormatting>
  <conditionalFormatting sqref="B33">
    <cfRule type="expression" dxfId="320" priority="385" stopIfTrue="1">
      <formula>B33="Complete"</formula>
    </cfRule>
    <cfRule type="expression" dxfId="319" priority="386" stopIfTrue="1">
      <formula>B33="N/A"</formula>
    </cfRule>
    <cfRule type="expression" dxfId="318" priority="387" stopIfTrue="1">
      <formula>$B33="Missing"</formula>
    </cfRule>
  </conditionalFormatting>
  <conditionalFormatting sqref="B32">
    <cfRule type="expression" dxfId="317" priority="388" stopIfTrue="1">
      <formula>B32="Complete"</formula>
    </cfRule>
    <cfRule type="expression" dxfId="316" priority="389" stopIfTrue="1">
      <formula>B32="N/A"</formula>
    </cfRule>
    <cfRule type="expression" dxfId="315" priority="390" stopIfTrue="1">
      <formula>$B32="Missing"</formula>
    </cfRule>
  </conditionalFormatting>
  <conditionalFormatting sqref="B34">
    <cfRule type="expression" dxfId="314" priority="382" stopIfTrue="1">
      <formula>B34="Complete"</formula>
    </cfRule>
    <cfRule type="expression" dxfId="313" priority="383" stopIfTrue="1">
      <formula>B34="N/A"</formula>
    </cfRule>
    <cfRule type="expression" dxfId="312" priority="384" stopIfTrue="1">
      <formula>$B34="Missing"</formula>
    </cfRule>
  </conditionalFormatting>
  <conditionalFormatting sqref="B35">
    <cfRule type="expression" dxfId="311" priority="379" stopIfTrue="1">
      <formula>B35="Complete"</formula>
    </cfRule>
    <cfRule type="expression" dxfId="310" priority="380" stopIfTrue="1">
      <formula>B35="N/A"</formula>
    </cfRule>
    <cfRule type="expression" dxfId="309" priority="381" stopIfTrue="1">
      <formula>$B35="Missing"</formula>
    </cfRule>
  </conditionalFormatting>
  <conditionalFormatting sqref="B38">
    <cfRule type="expression" dxfId="308" priority="370" stopIfTrue="1">
      <formula>B38="Complete"</formula>
    </cfRule>
    <cfRule type="expression" dxfId="307" priority="371" stopIfTrue="1">
      <formula>B38="N/A"</formula>
    </cfRule>
    <cfRule type="expression" dxfId="306" priority="372" stopIfTrue="1">
      <formula>$B38="Missing"</formula>
    </cfRule>
  </conditionalFormatting>
  <conditionalFormatting sqref="B39">
    <cfRule type="expression" dxfId="305" priority="367" stopIfTrue="1">
      <formula>B39="Complete"</formula>
    </cfRule>
    <cfRule type="expression" dxfId="304" priority="368" stopIfTrue="1">
      <formula>B39="N/A"</formula>
    </cfRule>
    <cfRule type="expression" dxfId="303" priority="369" stopIfTrue="1">
      <formula>$B39="Missing"</formula>
    </cfRule>
  </conditionalFormatting>
  <conditionalFormatting sqref="B40">
    <cfRule type="expression" dxfId="302" priority="364" stopIfTrue="1">
      <formula>B40="Complete"</formula>
    </cfRule>
    <cfRule type="expression" dxfId="301" priority="365" stopIfTrue="1">
      <formula>B40="N/A"</formula>
    </cfRule>
    <cfRule type="expression" dxfId="300" priority="366" stopIfTrue="1">
      <formula>$B40="Missing"</formula>
    </cfRule>
  </conditionalFormatting>
  <conditionalFormatting sqref="B41">
    <cfRule type="expression" dxfId="299" priority="361" stopIfTrue="1">
      <formula>B41="Complete"</formula>
    </cfRule>
    <cfRule type="expression" dxfId="298" priority="362" stopIfTrue="1">
      <formula>B41="N/A"</formula>
    </cfRule>
    <cfRule type="expression" dxfId="297" priority="363" stopIfTrue="1">
      <formula>$B41="Missing"</formula>
    </cfRule>
  </conditionalFormatting>
  <conditionalFormatting sqref="B42">
    <cfRule type="expression" dxfId="296" priority="358" stopIfTrue="1">
      <formula>B42="Complete"</formula>
    </cfRule>
    <cfRule type="expression" dxfId="295" priority="359" stopIfTrue="1">
      <formula>B42="N/A"</formula>
    </cfRule>
    <cfRule type="expression" dxfId="294" priority="360" stopIfTrue="1">
      <formula>$B42="Missing"</formula>
    </cfRule>
  </conditionalFormatting>
  <conditionalFormatting sqref="B43">
    <cfRule type="expression" dxfId="293" priority="355" stopIfTrue="1">
      <formula>B43="Complete"</formula>
    </cfRule>
    <cfRule type="expression" dxfId="292" priority="356" stopIfTrue="1">
      <formula>B43="N/A"</formula>
    </cfRule>
    <cfRule type="expression" dxfId="291" priority="357" stopIfTrue="1">
      <formula>$B43="Missing"</formula>
    </cfRule>
  </conditionalFormatting>
  <conditionalFormatting sqref="B44">
    <cfRule type="expression" dxfId="290" priority="352" stopIfTrue="1">
      <formula>B44="Complete"</formula>
    </cfRule>
    <cfRule type="expression" dxfId="289" priority="353" stopIfTrue="1">
      <formula>B44="N/A"</formula>
    </cfRule>
    <cfRule type="expression" dxfId="288" priority="354" stopIfTrue="1">
      <formula>$B44="Missing"</formula>
    </cfRule>
  </conditionalFormatting>
  <conditionalFormatting sqref="B45">
    <cfRule type="expression" dxfId="287" priority="349" stopIfTrue="1">
      <formula>B45="Complete"</formula>
    </cfRule>
    <cfRule type="expression" dxfId="286" priority="350" stopIfTrue="1">
      <formula>B45="N/A"</formula>
    </cfRule>
    <cfRule type="expression" dxfId="285" priority="351" stopIfTrue="1">
      <formula>$B45="Missing"</formula>
    </cfRule>
  </conditionalFormatting>
  <conditionalFormatting sqref="B46">
    <cfRule type="expression" dxfId="284" priority="346" stopIfTrue="1">
      <formula>B46="Complete"</formula>
    </cfRule>
    <cfRule type="expression" dxfId="283" priority="347" stopIfTrue="1">
      <formula>B46="N/A"</formula>
    </cfRule>
    <cfRule type="expression" dxfId="282" priority="348" stopIfTrue="1">
      <formula>$B46="Missing"</formula>
    </cfRule>
  </conditionalFormatting>
  <conditionalFormatting sqref="B47">
    <cfRule type="expression" dxfId="281" priority="343" stopIfTrue="1">
      <formula>B47="Complete"</formula>
    </cfRule>
    <cfRule type="expression" dxfId="280" priority="344" stopIfTrue="1">
      <formula>B47="N/A"</formula>
    </cfRule>
    <cfRule type="expression" dxfId="279" priority="345" stopIfTrue="1">
      <formula>$B47="Missing"</formula>
    </cfRule>
  </conditionalFormatting>
  <conditionalFormatting sqref="B48">
    <cfRule type="expression" dxfId="278" priority="340" stopIfTrue="1">
      <formula>B48="Complete"</formula>
    </cfRule>
    <cfRule type="expression" dxfId="277" priority="341" stopIfTrue="1">
      <formula>B48="N/A"</formula>
    </cfRule>
    <cfRule type="expression" dxfId="276" priority="342" stopIfTrue="1">
      <formula>$B48="Missing"</formula>
    </cfRule>
  </conditionalFormatting>
  <conditionalFormatting sqref="B49">
    <cfRule type="expression" dxfId="275" priority="337" stopIfTrue="1">
      <formula>B49="Complete"</formula>
    </cfRule>
    <cfRule type="expression" dxfId="274" priority="338" stopIfTrue="1">
      <formula>B49="N/A"</formula>
    </cfRule>
    <cfRule type="expression" dxfId="273" priority="339" stopIfTrue="1">
      <formula>$B49="Missing"</formula>
    </cfRule>
  </conditionalFormatting>
  <conditionalFormatting sqref="B50">
    <cfRule type="expression" dxfId="272" priority="334" stopIfTrue="1">
      <formula>B50="Complete"</formula>
    </cfRule>
    <cfRule type="expression" dxfId="271" priority="335" stopIfTrue="1">
      <formula>B50="N/A"</formula>
    </cfRule>
    <cfRule type="expression" dxfId="270" priority="336" stopIfTrue="1">
      <formula>$B50="Missing"</formula>
    </cfRule>
  </conditionalFormatting>
  <conditionalFormatting sqref="B51">
    <cfRule type="expression" dxfId="269" priority="331" stopIfTrue="1">
      <formula>B51="Complete"</formula>
    </cfRule>
    <cfRule type="expression" dxfId="268" priority="332" stopIfTrue="1">
      <formula>B51="N/A"</formula>
    </cfRule>
    <cfRule type="expression" dxfId="267" priority="333" stopIfTrue="1">
      <formula>$B51="Missing"</formula>
    </cfRule>
  </conditionalFormatting>
  <conditionalFormatting sqref="B52">
    <cfRule type="expression" dxfId="266" priority="328" stopIfTrue="1">
      <formula>B52="Complete"</formula>
    </cfRule>
    <cfRule type="expression" dxfId="265" priority="329" stopIfTrue="1">
      <formula>B52="N/A"</formula>
    </cfRule>
    <cfRule type="expression" dxfId="264" priority="330" stopIfTrue="1">
      <formula>$B52="Missing"</formula>
    </cfRule>
  </conditionalFormatting>
  <conditionalFormatting sqref="B53">
    <cfRule type="expression" dxfId="263" priority="322" stopIfTrue="1">
      <formula>B53="Complete"</formula>
    </cfRule>
    <cfRule type="expression" dxfId="262" priority="323" stopIfTrue="1">
      <formula>B53="N/A"</formula>
    </cfRule>
    <cfRule type="expression" dxfId="261" priority="324" stopIfTrue="1">
      <formula>$B53="Missing"</formula>
    </cfRule>
  </conditionalFormatting>
  <conditionalFormatting sqref="B21">
    <cfRule type="expression" dxfId="260" priority="319" stopIfTrue="1">
      <formula>B21="Complete"</formula>
    </cfRule>
    <cfRule type="expression" dxfId="259" priority="320" stopIfTrue="1">
      <formula>B21="N/A"</formula>
    </cfRule>
    <cfRule type="expression" dxfId="258" priority="321" stopIfTrue="1">
      <formula>$B21="Missing"</formula>
    </cfRule>
  </conditionalFormatting>
  <conditionalFormatting sqref="B20">
    <cfRule type="expression" dxfId="257" priority="316" stopIfTrue="1">
      <formula>B20="Complete"</formula>
    </cfRule>
    <cfRule type="expression" dxfId="256" priority="317" stopIfTrue="1">
      <formula>B20="N/A"</formula>
    </cfRule>
    <cfRule type="expression" dxfId="255" priority="318" stopIfTrue="1">
      <formula>$B20="Missing"</formula>
    </cfRule>
  </conditionalFormatting>
  <conditionalFormatting sqref="B19">
    <cfRule type="expression" dxfId="254" priority="313" stopIfTrue="1">
      <formula>B19="Complete"</formula>
    </cfRule>
    <cfRule type="expression" dxfId="253" priority="314" stopIfTrue="1">
      <formula>B19="N/A"</formula>
    </cfRule>
    <cfRule type="expression" dxfId="252" priority="315" stopIfTrue="1">
      <formula>$B19="Missing"</formula>
    </cfRule>
  </conditionalFormatting>
  <conditionalFormatting sqref="B18">
    <cfRule type="expression" dxfId="251" priority="310" stopIfTrue="1">
      <formula>B18="Complete"</formula>
    </cfRule>
    <cfRule type="expression" dxfId="250" priority="311" stopIfTrue="1">
      <formula>B18="N/A"</formula>
    </cfRule>
    <cfRule type="expression" dxfId="249" priority="312" stopIfTrue="1">
      <formula>$B18="Missing"</formula>
    </cfRule>
  </conditionalFormatting>
  <conditionalFormatting sqref="B17">
    <cfRule type="expression" dxfId="248" priority="304" stopIfTrue="1">
      <formula>B17="Complete"</formula>
    </cfRule>
    <cfRule type="expression" dxfId="247" priority="305" stopIfTrue="1">
      <formula>B17="N/A"</formula>
    </cfRule>
    <cfRule type="expression" dxfId="246" priority="306" stopIfTrue="1">
      <formula>$B17="Missing"</formula>
    </cfRule>
  </conditionalFormatting>
  <conditionalFormatting sqref="B16">
    <cfRule type="expression" dxfId="245" priority="301" stopIfTrue="1">
      <formula>B16="Complete"</formula>
    </cfRule>
    <cfRule type="expression" dxfId="244" priority="302" stopIfTrue="1">
      <formula>B16="N/A"</formula>
    </cfRule>
    <cfRule type="expression" dxfId="243" priority="303" stopIfTrue="1">
      <formula>$B16="Missing"</formula>
    </cfRule>
  </conditionalFormatting>
  <conditionalFormatting sqref="B15">
    <cfRule type="expression" dxfId="242" priority="298" stopIfTrue="1">
      <formula>B15="Complete"</formula>
    </cfRule>
    <cfRule type="expression" dxfId="241" priority="299" stopIfTrue="1">
      <formula>B15="N/A"</formula>
    </cfRule>
    <cfRule type="expression" dxfId="240" priority="300" stopIfTrue="1">
      <formula>$B15="Missing"</formula>
    </cfRule>
  </conditionalFormatting>
  <conditionalFormatting sqref="B14">
    <cfRule type="expression" dxfId="239" priority="295" stopIfTrue="1">
      <formula>B14="Complete"</formula>
    </cfRule>
    <cfRule type="expression" dxfId="238" priority="296" stopIfTrue="1">
      <formula>B14="N/A"</formula>
    </cfRule>
    <cfRule type="expression" dxfId="237" priority="297" stopIfTrue="1">
      <formula>$B14="Missing"</formula>
    </cfRule>
  </conditionalFormatting>
  <conditionalFormatting sqref="B13">
    <cfRule type="expression" dxfId="236" priority="292" stopIfTrue="1">
      <formula>B13="Complete"</formula>
    </cfRule>
    <cfRule type="expression" dxfId="235" priority="293" stopIfTrue="1">
      <formula>B13="N/A"</formula>
    </cfRule>
    <cfRule type="expression" dxfId="234" priority="294" stopIfTrue="1">
      <formula>$B13="Missing"</formula>
    </cfRule>
  </conditionalFormatting>
  <conditionalFormatting sqref="B12">
    <cfRule type="expression" dxfId="233" priority="289" stopIfTrue="1">
      <formula>B12="Complete"</formula>
    </cfRule>
    <cfRule type="expression" dxfId="232" priority="290" stopIfTrue="1">
      <formula>B12="N/A"</formula>
    </cfRule>
    <cfRule type="expression" dxfId="231" priority="291" stopIfTrue="1">
      <formula>$B12="Missing"</formula>
    </cfRule>
  </conditionalFormatting>
  <conditionalFormatting sqref="B11">
    <cfRule type="expression" dxfId="230" priority="286" stopIfTrue="1">
      <formula>B11="Complete"</formula>
    </cfRule>
    <cfRule type="expression" dxfId="229" priority="287" stopIfTrue="1">
      <formula>B11="N/A"</formula>
    </cfRule>
    <cfRule type="expression" dxfId="228" priority="288" stopIfTrue="1">
      <formula>$B11="Missing"</formula>
    </cfRule>
  </conditionalFormatting>
  <conditionalFormatting sqref="B10">
    <cfRule type="expression" dxfId="227" priority="283" stopIfTrue="1">
      <formula>B10="Complete"</formula>
    </cfRule>
    <cfRule type="expression" dxfId="226" priority="284" stopIfTrue="1">
      <formula>B10="N/A"</formula>
    </cfRule>
    <cfRule type="expression" dxfId="225" priority="285" stopIfTrue="1">
      <formula>$B10="Missing"</formula>
    </cfRule>
  </conditionalFormatting>
  <conditionalFormatting sqref="B9">
    <cfRule type="expression" dxfId="224" priority="280" stopIfTrue="1">
      <formula>B9="Complete"</formula>
    </cfRule>
    <cfRule type="expression" dxfId="223" priority="281" stopIfTrue="1">
      <formula>B9="N/A"</formula>
    </cfRule>
    <cfRule type="expression" dxfId="222" priority="282" stopIfTrue="1">
      <formula>$B9="Missing"</formula>
    </cfRule>
  </conditionalFormatting>
  <conditionalFormatting sqref="B8">
    <cfRule type="expression" dxfId="221" priority="277" stopIfTrue="1">
      <formula>B8="Complete"</formula>
    </cfRule>
    <cfRule type="expression" dxfId="220" priority="278" stopIfTrue="1">
      <formula>B8="N/A"</formula>
    </cfRule>
    <cfRule type="expression" dxfId="219" priority="279" stopIfTrue="1">
      <formula>$B8="Missing"</formula>
    </cfRule>
  </conditionalFormatting>
  <conditionalFormatting sqref="B7">
    <cfRule type="expression" dxfId="218" priority="274" stopIfTrue="1">
      <formula>B7="Complete"</formula>
    </cfRule>
    <cfRule type="expression" dxfId="217" priority="275" stopIfTrue="1">
      <formula>B7="N/A"</formula>
    </cfRule>
    <cfRule type="expression" dxfId="216" priority="276" stopIfTrue="1">
      <formula>$B7="Missing"</formula>
    </cfRule>
  </conditionalFormatting>
  <conditionalFormatting sqref="B6">
    <cfRule type="expression" dxfId="215" priority="271" stopIfTrue="1">
      <formula>B6="Complete"</formula>
    </cfRule>
    <cfRule type="expression" dxfId="214" priority="272" stopIfTrue="1">
      <formula>B6="N/A"</formula>
    </cfRule>
    <cfRule type="expression" dxfId="213" priority="273" stopIfTrue="1">
      <formula>$B6="Missing"</formula>
    </cfRule>
  </conditionalFormatting>
  <conditionalFormatting sqref="B4">
    <cfRule type="expression" dxfId="212" priority="268" stopIfTrue="1">
      <formula>B4="Complete"</formula>
    </cfRule>
    <cfRule type="expression" dxfId="211" priority="269" stopIfTrue="1">
      <formula>B4="N/A"</formula>
    </cfRule>
    <cfRule type="expression" dxfId="210" priority="270" stopIfTrue="1">
      <formula>$B4="Missing"</formula>
    </cfRule>
  </conditionalFormatting>
  <conditionalFormatting sqref="B5">
    <cfRule type="expression" dxfId="209" priority="265" stopIfTrue="1">
      <formula>B5="Complete"</formula>
    </cfRule>
    <cfRule type="expression" dxfId="208" priority="266" stopIfTrue="1">
      <formula>B5="N/A"</formula>
    </cfRule>
    <cfRule type="expression" dxfId="207" priority="267" stopIfTrue="1">
      <formula>$B5="Missing"</formula>
    </cfRule>
  </conditionalFormatting>
  <conditionalFormatting sqref="B3">
    <cfRule type="expression" dxfId="206" priority="262" stopIfTrue="1">
      <formula>B3="Complete"</formula>
    </cfRule>
    <cfRule type="expression" dxfId="205" priority="263" stopIfTrue="1">
      <formula>B3="N/A"</formula>
    </cfRule>
    <cfRule type="expression" dxfId="204" priority="264" stopIfTrue="1">
      <formula>$B3="Missing"</formula>
    </cfRule>
  </conditionalFormatting>
  <conditionalFormatting sqref="B2">
    <cfRule type="expression" dxfId="203" priority="259" stopIfTrue="1">
      <formula>B2="Complete"</formula>
    </cfRule>
    <cfRule type="expression" dxfId="202" priority="260" stopIfTrue="1">
      <formula>B2="N/A"</formula>
    </cfRule>
    <cfRule type="expression" dxfId="201" priority="261" stopIfTrue="1">
      <formula>$B2="Missing"</formula>
    </cfRule>
  </conditionalFormatting>
  <conditionalFormatting sqref="I2 I4:I13 I21">
    <cfRule type="expression" dxfId="200" priority="253" stopIfTrue="1">
      <formula>$I2="In Spec"</formula>
    </cfRule>
    <cfRule type="expression" dxfId="199" priority="254" stopIfTrue="1">
      <formula>$I2="Info Needed"</formula>
    </cfRule>
    <cfRule type="expression" dxfId="198" priority="255" stopIfTrue="1">
      <formula>$I2= "Not in spec"</formula>
    </cfRule>
  </conditionalFormatting>
  <conditionalFormatting sqref="B60">
    <cfRule type="expression" dxfId="197" priority="193" stopIfTrue="1">
      <formula>B60="Complete"</formula>
    </cfRule>
    <cfRule type="expression" dxfId="196" priority="194" stopIfTrue="1">
      <formula>B60="N/A"</formula>
    </cfRule>
    <cfRule type="expression" dxfId="195" priority="195" stopIfTrue="1">
      <formula>$B60="Missing"</formula>
    </cfRule>
  </conditionalFormatting>
  <conditionalFormatting sqref="B54">
    <cfRule type="expression" dxfId="194" priority="211" stopIfTrue="1">
      <formula>B54="Complete"</formula>
    </cfRule>
    <cfRule type="expression" dxfId="193" priority="212" stopIfTrue="1">
      <formula>B54="N/A"</formula>
    </cfRule>
    <cfRule type="expression" dxfId="192" priority="213" stopIfTrue="1">
      <formula>$B54="Missing"</formula>
    </cfRule>
  </conditionalFormatting>
  <conditionalFormatting sqref="B55">
    <cfRule type="expression" dxfId="191" priority="208" stopIfTrue="1">
      <formula>B55="Complete"</formula>
    </cfRule>
    <cfRule type="expression" dxfId="190" priority="209" stopIfTrue="1">
      <formula>B55="N/A"</formula>
    </cfRule>
    <cfRule type="expression" dxfId="189" priority="210" stopIfTrue="1">
      <formula>$B55="Missing"</formula>
    </cfRule>
  </conditionalFormatting>
  <conditionalFormatting sqref="B56">
    <cfRule type="expression" dxfId="188" priority="205" stopIfTrue="1">
      <formula>B56="Complete"</formula>
    </cfRule>
    <cfRule type="expression" dxfId="187" priority="206" stopIfTrue="1">
      <formula>B56="N/A"</formula>
    </cfRule>
    <cfRule type="expression" dxfId="186" priority="207" stopIfTrue="1">
      <formula>$B56="Missing"</formula>
    </cfRule>
  </conditionalFormatting>
  <conditionalFormatting sqref="B57">
    <cfRule type="expression" dxfId="185" priority="202" stopIfTrue="1">
      <formula>B57="Complete"</formula>
    </cfRule>
    <cfRule type="expression" dxfId="184" priority="203" stopIfTrue="1">
      <formula>B57="N/A"</formula>
    </cfRule>
    <cfRule type="expression" dxfId="183" priority="204" stopIfTrue="1">
      <formula>$B57="Missing"</formula>
    </cfRule>
  </conditionalFormatting>
  <conditionalFormatting sqref="B58">
    <cfRule type="expression" dxfId="182" priority="199" stopIfTrue="1">
      <formula>B58="Complete"</formula>
    </cfRule>
    <cfRule type="expression" dxfId="181" priority="200" stopIfTrue="1">
      <formula>B58="N/A"</formula>
    </cfRule>
    <cfRule type="expression" dxfId="180" priority="201" stopIfTrue="1">
      <formula>$B58="Missing"</formula>
    </cfRule>
  </conditionalFormatting>
  <conditionalFormatting sqref="B59">
    <cfRule type="expression" dxfId="179" priority="196" stopIfTrue="1">
      <formula>B59="Complete"</formula>
    </cfRule>
    <cfRule type="expression" dxfId="178" priority="197" stopIfTrue="1">
      <formula>B59="N/A"</formula>
    </cfRule>
    <cfRule type="expression" dxfId="177" priority="198" stopIfTrue="1">
      <formula>$B59="Missing"</formula>
    </cfRule>
  </conditionalFormatting>
  <conditionalFormatting sqref="B61">
    <cfRule type="expression" dxfId="176" priority="190" stopIfTrue="1">
      <formula>B61="Complete"</formula>
    </cfRule>
    <cfRule type="expression" dxfId="175" priority="191" stopIfTrue="1">
      <formula>B61="N/A"</formula>
    </cfRule>
    <cfRule type="expression" dxfId="174" priority="192" stopIfTrue="1">
      <formula>$B61="Missing"</formula>
    </cfRule>
  </conditionalFormatting>
  <conditionalFormatting sqref="B62">
    <cfRule type="expression" dxfId="173" priority="187" stopIfTrue="1">
      <formula>B62="Complete"</formula>
    </cfRule>
    <cfRule type="expression" dxfId="172" priority="188" stopIfTrue="1">
      <formula>B62="N/A"</formula>
    </cfRule>
    <cfRule type="expression" dxfId="171" priority="189" stopIfTrue="1">
      <formula>$B62="Missing"</formula>
    </cfRule>
  </conditionalFormatting>
  <conditionalFormatting sqref="B63">
    <cfRule type="expression" dxfId="170" priority="184" stopIfTrue="1">
      <formula>B63="Complete"</formula>
    </cfRule>
    <cfRule type="expression" dxfId="169" priority="185" stopIfTrue="1">
      <formula>B63="N/A"</formula>
    </cfRule>
    <cfRule type="expression" dxfId="168" priority="186" stopIfTrue="1">
      <formula>$B63="Missing"</formula>
    </cfRule>
  </conditionalFormatting>
  <conditionalFormatting sqref="B64">
    <cfRule type="expression" dxfId="167" priority="181" stopIfTrue="1">
      <formula>B64="Complete"</formula>
    </cfRule>
    <cfRule type="expression" dxfId="166" priority="182" stopIfTrue="1">
      <formula>B64="N/A"</formula>
    </cfRule>
    <cfRule type="expression" dxfId="165" priority="183" stopIfTrue="1">
      <formula>$B64="Missing"</formula>
    </cfRule>
  </conditionalFormatting>
  <conditionalFormatting sqref="B65">
    <cfRule type="expression" dxfId="164" priority="178" stopIfTrue="1">
      <formula>B65="Complete"</formula>
    </cfRule>
    <cfRule type="expression" dxfId="163" priority="179" stopIfTrue="1">
      <formula>B65="N/A"</formula>
    </cfRule>
    <cfRule type="expression" dxfId="162" priority="180" stopIfTrue="1">
      <formula>$B65="Missing"</formula>
    </cfRule>
  </conditionalFormatting>
  <conditionalFormatting sqref="B66">
    <cfRule type="expression" dxfId="161" priority="175" stopIfTrue="1">
      <formula>B66="Complete"</formula>
    </cfRule>
    <cfRule type="expression" dxfId="160" priority="176" stopIfTrue="1">
      <formula>B66="N/A"</formula>
    </cfRule>
    <cfRule type="expression" dxfId="159" priority="177" stopIfTrue="1">
      <formula>$B66="Missing"</formula>
    </cfRule>
  </conditionalFormatting>
  <conditionalFormatting sqref="B67">
    <cfRule type="expression" dxfId="158" priority="172" stopIfTrue="1">
      <formula>B67="Complete"</formula>
    </cfRule>
    <cfRule type="expression" dxfId="157" priority="173" stopIfTrue="1">
      <formula>B67="N/A"</formula>
    </cfRule>
    <cfRule type="expression" dxfId="156" priority="174" stopIfTrue="1">
      <formula>$B67="Missing"</formula>
    </cfRule>
  </conditionalFormatting>
  <conditionalFormatting sqref="B68">
    <cfRule type="expression" dxfId="155" priority="169" stopIfTrue="1">
      <formula>B68="Complete"</formula>
    </cfRule>
    <cfRule type="expression" dxfId="154" priority="170" stopIfTrue="1">
      <formula>B68="N/A"</formula>
    </cfRule>
    <cfRule type="expression" dxfId="153" priority="171" stopIfTrue="1">
      <formula>$B68="Missing"</formula>
    </cfRule>
  </conditionalFormatting>
  <conditionalFormatting sqref="B69">
    <cfRule type="expression" dxfId="152" priority="166" stopIfTrue="1">
      <formula>B69="Complete"</formula>
    </cfRule>
    <cfRule type="expression" dxfId="151" priority="167" stopIfTrue="1">
      <formula>B69="N/A"</formula>
    </cfRule>
    <cfRule type="expression" dxfId="150" priority="168" stopIfTrue="1">
      <formula>$B69="Missing"</formula>
    </cfRule>
  </conditionalFormatting>
  <conditionalFormatting sqref="B70">
    <cfRule type="expression" dxfId="149" priority="163" stopIfTrue="1">
      <formula>B70="Complete"</formula>
    </cfRule>
    <cfRule type="expression" dxfId="148" priority="164" stopIfTrue="1">
      <formula>B70="N/A"</formula>
    </cfRule>
    <cfRule type="expression" dxfId="147" priority="165" stopIfTrue="1">
      <formula>$B70="Missing"</formula>
    </cfRule>
  </conditionalFormatting>
  <conditionalFormatting sqref="B71">
    <cfRule type="expression" dxfId="146" priority="160" stopIfTrue="1">
      <formula>B71="Complete"</formula>
    </cfRule>
    <cfRule type="expression" dxfId="145" priority="161" stopIfTrue="1">
      <formula>B71="N/A"</formula>
    </cfRule>
    <cfRule type="expression" dxfId="144" priority="162" stopIfTrue="1">
      <formula>$B71="Missing"</formula>
    </cfRule>
  </conditionalFormatting>
  <conditionalFormatting sqref="B72">
    <cfRule type="expression" dxfId="143" priority="157" stopIfTrue="1">
      <formula>B72="Complete"</formula>
    </cfRule>
    <cfRule type="expression" dxfId="142" priority="158" stopIfTrue="1">
      <formula>B72="N/A"</formula>
    </cfRule>
    <cfRule type="expression" dxfId="141" priority="159" stopIfTrue="1">
      <formula>$B72="Missing"</formula>
    </cfRule>
  </conditionalFormatting>
  <conditionalFormatting sqref="B73">
    <cfRule type="expression" dxfId="140" priority="154" stopIfTrue="1">
      <formula>B73="Complete"</formula>
    </cfRule>
    <cfRule type="expression" dxfId="139" priority="155" stopIfTrue="1">
      <formula>B73="N/A"</formula>
    </cfRule>
    <cfRule type="expression" dxfId="138" priority="156" stopIfTrue="1">
      <formula>$B73="Missing"</formula>
    </cfRule>
  </conditionalFormatting>
  <conditionalFormatting sqref="B74">
    <cfRule type="expression" dxfId="137" priority="151" stopIfTrue="1">
      <formula>B74="Complete"</formula>
    </cfRule>
    <cfRule type="expression" dxfId="136" priority="152" stopIfTrue="1">
      <formula>B74="N/A"</formula>
    </cfRule>
    <cfRule type="expression" dxfId="135" priority="153" stopIfTrue="1">
      <formula>$B74="Missing"</formula>
    </cfRule>
  </conditionalFormatting>
  <conditionalFormatting sqref="B75">
    <cfRule type="expression" dxfId="134" priority="148" stopIfTrue="1">
      <formula>B75="Complete"</formula>
    </cfRule>
    <cfRule type="expression" dxfId="133" priority="149" stopIfTrue="1">
      <formula>B75="N/A"</formula>
    </cfRule>
    <cfRule type="expression" dxfId="132" priority="150" stopIfTrue="1">
      <formula>$B75="Missing"</formula>
    </cfRule>
  </conditionalFormatting>
  <conditionalFormatting sqref="B76">
    <cfRule type="expression" dxfId="131" priority="145" stopIfTrue="1">
      <formula>B76="Complete"</formula>
    </cfRule>
    <cfRule type="expression" dxfId="130" priority="146" stopIfTrue="1">
      <formula>B76="N/A"</formula>
    </cfRule>
    <cfRule type="expression" dxfId="129" priority="147" stopIfTrue="1">
      <formula>$B76="Missing"</formula>
    </cfRule>
  </conditionalFormatting>
  <conditionalFormatting sqref="B77">
    <cfRule type="expression" dxfId="128" priority="142" stopIfTrue="1">
      <formula>B77="Complete"</formula>
    </cfRule>
    <cfRule type="expression" dxfId="127" priority="143" stopIfTrue="1">
      <formula>B77="N/A"</formula>
    </cfRule>
    <cfRule type="expression" dxfId="126" priority="144" stopIfTrue="1">
      <formula>$B77="Missing"</formula>
    </cfRule>
  </conditionalFormatting>
  <conditionalFormatting sqref="B78">
    <cfRule type="expression" dxfId="125" priority="139" stopIfTrue="1">
      <formula>B78="Complete"</formula>
    </cfRule>
    <cfRule type="expression" dxfId="124" priority="140" stopIfTrue="1">
      <formula>B78="N/A"</formula>
    </cfRule>
    <cfRule type="expression" dxfId="123" priority="141" stopIfTrue="1">
      <formula>$B78="Missing"</formula>
    </cfRule>
  </conditionalFormatting>
  <conditionalFormatting sqref="B79">
    <cfRule type="expression" dxfId="122" priority="136" stopIfTrue="1">
      <formula>B79="Complete"</formula>
    </cfRule>
    <cfRule type="expression" dxfId="121" priority="137" stopIfTrue="1">
      <formula>B79="N/A"</formula>
    </cfRule>
    <cfRule type="expression" dxfId="120" priority="138" stopIfTrue="1">
      <formula>$B79="Missing"</formula>
    </cfRule>
  </conditionalFormatting>
  <conditionalFormatting sqref="B80">
    <cfRule type="expression" dxfId="119" priority="133" stopIfTrue="1">
      <formula>B80="Complete"</formula>
    </cfRule>
    <cfRule type="expression" dxfId="118" priority="134" stopIfTrue="1">
      <formula>B80="N/A"</formula>
    </cfRule>
    <cfRule type="expression" dxfId="117" priority="135" stopIfTrue="1">
      <formula>$B80="Missing"</formula>
    </cfRule>
  </conditionalFormatting>
  <conditionalFormatting sqref="B81">
    <cfRule type="expression" dxfId="116" priority="130" stopIfTrue="1">
      <formula>B81="Complete"</formula>
    </cfRule>
    <cfRule type="expression" dxfId="115" priority="131" stopIfTrue="1">
      <formula>B81="N/A"</formula>
    </cfRule>
    <cfRule type="expression" dxfId="114" priority="132" stopIfTrue="1">
      <formula>$B81="Missing"</formula>
    </cfRule>
  </conditionalFormatting>
  <conditionalFormatting sqref="B82">
    <cfRule type="expression" dxfId="113" priority="127" stopIfTrue="1">
      <formula>B82="Complete"</formula>
    </cfRule>
    <cfRule type="expression" dxfId="112" priority="128" stopIfTrue="1">
      <formula>B82="N/A"</formula>
    </cfRule>
    <cfRule type="expression" dxfId="111" priority="129" stopIfTrue="1">
      <formula>$B82="Missing"</formula>
    </cfRule>
  </conditionalFormatting>
  <conditionalFormatting sqref="B83">
    <cfRule type="expression" dxfId="110" priority="124" stopIfTrue="1">
      <formula>B83="Complete"</formula>
    </cfRule>
    <cfRule type="expression" dxfId="109" priority="125" stopIfTrue="1">
      <formula>B83="N/A"</formula>
    </cfRule>
    <cfRule type="expression" dxfId="108" priority="126" stopIfTrue="1">
      <formula>$B83="Missing"</formula>
    </cfRule>
  </conditionalFormatting>
  <conditionalFormatting sqref="B84">
    <cfRule type="expression" dxfId="107" priority="121" stopIfTrue="1">
      <formula>B84="Complete"</formula>
    </cfRule>
    <cfRule type="expression" dxfId="106" priority="122" stopIfTrue="1">
      <formula>B84="N/A"</formula>
    </cfRule>
    <cfRule type="expression" dxfId="105" priority="123" stopIfTrue="1">
      <formula>$B84="Missing"</formula>
    </cfRule>
  </conditionalFormatting>
  <conditionalFormatting sqref="I14">
    <cfRule type="expression" dxfId="104" priority="118" stopIfTrue="1">
      <formula>$I14="In Spec"</formula>
    </cfRule>
    <cfRule type="expression" dxfId="103" priority="119" stopIfTrue="1">
      <formula>$I14="Info Needed"</formula>
    </cfRule>
    <cfRule type="expression" dxfId="102" priority="120" stopIfTrue="1">
      <formula>$I14= "Not in spec"</formula>
    </cfRule>
  </conditionalFormatting>
  <conditionalFormatting sqref="I15">
    <cfRule type="expression" dxfId="101" priority="115" stopIfTrue="1">
      <formula>$I15="In Spec"</formula>
    </cfRule>
    <cfRule type="expression" dxfId="100" priority="116" stopIfTrue="1">
      <formula>$I15="Info Needed"</formula>
    </cfRule>
    <cfRule type="expression" dxfId="99" priority="117" stopIfTrue="1">
      <formula>$I15= "Not in spec"</formula>
    </cfRule>
  </conditionalFormatting>
  <conditionalFormatting sqref="I16">
    <cfRule type="expression" dxfId="98" priority="112" stopIfTrue="1">
      <formula>$I16="In Spec"</formula>
    </cfRule>
    <cfRule type="expression" dxfId="97" priority="113" stopIfTrue="1">
      <formula>$I16="Info Needed"</formula>
    </cfRule>
    <cfRule type="expression" dxfId="96" priority="114" stopIfTrue="1">
      <formula>$I16= "Not in spec"</formula>
    </cfRule>
  </conditionalFormatting>
  <conditionalFormatting sqref="I19">
    <cfRule type="expression" dxfId="95" priority="109" stopIfTrue="1">
      <formula>$I19="In Spec"</formula>
    </cfRule>
    <cfRule type="expression" dxfId="94" priority="110" stopIfTrue="1">
      <formula>$I19="Info Needed"</formula>
    </cfRule>
    <cfRule type="expression" dxfId="93" priority="111" stopIfTrue="1">
      <formula>$I19= "Not in spec"</formula>
    </cfRule>
  </conditionalFormatting>
  <conditionalFormatting sqref="I3">
    <cfRule type="expression" dxfId="92" priority="106" stopIfTrue="1">
      <formula>$I3="In Spec"</formula>
    </cfRule>
    <cfRule type="expression" dxfId="91" priority="107" stopIfTrue="1">
      <formula>$I3="Info Needed"</formula>
    </cfRule>
    <cfRule type="expression" dxfId="90" priority="108" stopIfTrue="1">
      <formula>$I3= "Not in spec"</formula>
    </cfRule>
  </conditionalFormatting>
  <conditionalFormatting sqref="I22">
    <cfRule type="expression" dxfId="89" priority="103" stopIfTrue="1">
      <formula>$I22="In Spec"</formula>
    </cfRule>
    <cfRule type="expression" dxfId="88" priority="104" stopIfTrue="1">
      <formula>$I22="Info Needed"</formula>
    </cfRule>
    <cfRule type="expression" dxfId="87" priority="105" stopIfTrue="1">
      <formula>$I22= "Not in spec"</formula>
    </cfRule>
  </conditionalFormatting>
  <conditionalFormatting sqref="I23">
    <cfRule type="expression" dxfId="86" priority="97" stopIfTrue="1">
      <formula>$I23="In Spec"</formula>
    </cfRule>
    <cfRule type="expression" dxfId="85" priority="98" stopIfTrue="1">
      <formula>$I23="Info Needed"</formula>
    </cfRule>
    <cfRule type="expression" dxfId="84" priority="99" stopIfTrue="1">
      <formula>$I23= "Not in spec"</formula>
    </cfRule>
  </conditionalFormatting>
  <conditionalFormatting sqref="I24">
    <cfRule type="expression" dxfId="83" priority="94" stopIfTrue="1">
      <formula>$I24="In Spec"</formula>
    </cfRule>
    <cfRule type="expression" dxfId="82" priority="95" stopIfTrue="1">
      <formula>$I24="Info Needed"</formula>
    </cfRule>
    <cfRule type="expression" dxfId="81" priority="96" stopIfTrue="1">
      <formula>$I24= "Not in spec"</formula>
    </cfRule>
  </conditionalFormatting>
  <conditionalFormatting sqref="I25">
    <cfRule type="expression" dxfId="80" priority="91" stopIfTrue="1">
      <formula>$I25="In Spec"</formula>
    </cfRule>
    <cfRule type="expression" dxfId="79" priority="92" stopIfTrue="1">
      <formula>$I25="Info Needed"</formula>
    </cfRule>
    <cfRule type="expression" dxfId="78" priority="93" stopIfTrue="1">
      <formula>$I25= "Not in spec"</formula>
    </cfRule>
  </conditionalFormatting>
  <conditionalFormatting sqref="I27">
    <cfRule type="expression" dxfId="77" priority="85" stopIfTrue="1">
      <formula>$I27="In Spec"</formula>
    </cfRule>
    <cfRule type="expression" dxfId="76" priority="86" stopIfTrue="1">
      <formula>$I27="Info Needed"</formula>
    </cfRule>
    <cfRule type="expression" dxfId="75" priority="87" stopIfTrue="1">
      <formula>$I27= "Not in spec"</formula>
    </cfRule>
  </conditionalFormatting>
  <conditionalFormatting sqref="I26">
    <cfRule type="expression" dxfId="74" priority="88" stopIfTrue="1">
      <formula>$I26="In Spec"</formula>
    </cfRule>
    <cfRule type="expression" dxfId="73" priority="89" stopIfTrue="1">
      <formula>$I26="Info Needed"</formula>
    </cfRule>
    <cfRule type="expression" dxfId="72" priority="90" stopIfTrue="1">
      <formula>$I26= "Not in spec"</formula>
    </cfRule>
  </conditionalFormatting>
  <conditionalFormatting sqref="I28">
    <cfRule type="expression" dxfId="71" priority="82" stopIfTrue="1">
      <formula>$I28="In Spec"</formula>
    </cfRule>
    <cfRule type="expression" dxfId="70" priority="83" stopIfTrue="1">
      <formula>$I28="Info Needed"</formula>
    </cfRule>
    <cfRule type="expression" dxfId="69" priority="84" stopIfTrue="1">
      <formula>$I28= "Not in spec"</formula>
    </cfRule>
  </conditionalFormatting>
  <conditionalFormatting sqref="I36">
    <cfRule type="expression" dxfId="68" priority="52" stopIfTrue="1">
      <formula>$I36="In Spec"</formula>
    </cfRule>
    <cfRule type="expression" dxfId="67" priority="53" stopIfTrue="1">
      <formula>$I36="Info Needed"</formula>
    </cfRule>
    <cfRule type="expression" dxfId="66" priority="54" stopIfTrue="1">
      <formula>$I36= "Not in spec"</formula>
    </cfRule>
  </conditionalFormatting>
  <conditionalFormatting sqref="I29">
    <cfRule type="expression" dxfId="65" priority="79" stopIfTrue="1">
      <formula>$I29="In Spec"</formula>
    </cfRule>
    <cfRule type="expression" dxfId="64" priority="80" stopIfTrue="1">
      <formula>$I29="Info Needed"</formula>
    </cfRule>
    <cfRule type="expression" dxfId="63" priority="81" stopIfTrue="1">
      <formula>$I29= "Not in spec"</formula>
    </cfRule>
  </conditionalFormatting>
  <conditionalFormatting sqref="I30">
    <cfRule type="expression" dxfId="62" priority="76" stopIfTrue="1">
      <formula>$I30="In Spec"</formula>
    </cfRule>
    <cfRule type="expression" dxfId="61" priority="77" stopIfTrue="1">
      <formula>$I30="Info Needed"</formula>
    </cfRule>
    <cfRule type="expression" dxfId="60" priority="78" stopIfTrue="1">
      <formula>$I30= "Not in spec"</formula>
    </cfRule>
  </conditionalFormatting>
  <conditionalFormatting sqref="I31">
    <cfRule type="expression" dxfId="59" priority="73" stopIfTrue="1">
      <formula>$I31="In Spec"</formula>
    </cfRule>
    <cfRule type="expression" dxfId="58" priority="74" stopIfTrue="1">
      <formula>$I31="Info Needed"</formula>
    </cfRule>
    <cfRule type="expression" dxfId="57" priority="75" stopIfTrue="1">
      <formula>$I31= "Not in spec"</formula>
    </cfRule>
  </conditionalFormatting>
  <conditionalFormatting sqref="I32">
    <cfRule type="expression" dxfId="56" priority="70" stopIfTrue="1">
      <formula>$I32="In Spec"</formula>
    </cfRule>
    <cfRule type="expression" dxfId="55" priority="71" stopIfTrue="1">
      <formula>$I32="Info Needed"</formula>
    </cfRule>
    <cfRule type="expression" dxfId="54" priority="72" stopIfTrue="1">
      <formula>$I32= "Not in spec"</formula>
    </cfRule>
  </conditionalFormatting>
  <conditionalFormatting sqref="I33">
    <cfRule type="expression" dxfId="53" priority="61" stopIfTrue="1">
      <formula>$I33="In Spec"</formula>
    </cfRule>
    <cfRule type="expression" dxfId="52" priority="62" stopIfTrue="1">
      <formula>$I33="Info Needed"</formula>
    </cfRule>
    <cfRule type="expression" dxfId="51" priority="63" stopIfTrue="1">
      <formula>$I33= "Not in spec"</formula>
    </cfRule>
  </conditionalFormatting>
  <conditionalFormatting sqref="I34">
    <cfRule type="expression" dxfId="50" priority="58" stopIfTrue="1">
      <formula>$I34="In Spec"</formula>
    </cfRule>
    <cfRule type="expression" dxfId="49" priority="59" stopIfTrue="1">
      <formula>$I34="Info Needed"</formula>
    </cfRule>
    <cfRule type="expression" dxfId="48" priority="60" stopIfTrue="1">
      <formula>$I34= "Not in spec"</formula>
    </cfRule>
  </conditionalFormatting>
  <conditionalFormatting sqref="I35">
    <cfRule type="expression" dxfId="47" priority="55" stopIfTrue="1">
      <formula>$I35="In Spec"</formula>
    </cfRule>
    <cfRule type="expression" dxfId="46" priority="56" stopIfTrue="1">
      <formula>$I35="Info Needed"</formula>
    </cfRule>
    <cfRule type="expression" dxfId="45" priority="57" stopIfTrue="1">
      <formula>$I35= "Not in spec"</formula>
    </cfRule>
  </conditionalFormatting>
  <conditionalFormatting sqref="I39">
    <cfRule type="expression" dxfId="44" priority="43" stopIfTrue="1">
      <formula>$I39="In Spec"</formula>
    </cfRule>
    <cfRule type="expression" dxfId="43" priority="44" stopIfTrue="1">
      <formula>$I39="Info Needed"</formula>
    </cfRule>
    <cfRule type="expression" dxfId="42" priority="45" stopIfTrue="1">
      <formula>$I39= "Not in spec"</formula>
    </cfRule>
  </conditionalFormatting>
  <conditionalFormatting sqref="I37">
    <cfRule type="expression" dxfId="41" priority="49" stopIfTrue="1">
      <formula>$I37="In Spec"</formula>
    </cfRule>
    <cfRule type="expression" dxfId="40" priority="50" stopIfTrue="1">
      <formula>$I37="Info Needed"</formula>
    </cfRule>
    <cfRule type="expression" dxfId="39" priority="51" stopIfTrue="1">
      <formula>$I37= "Not in spec"</formula>
    </cfRule>
  </conditionalFormatting>
  <conditionalFormatting sqref="I38">
    <cfRule type="expression" dxfId="38" priority="46" stopIfTrue="1">
      <formula>$I38="In Spec"</formula>
    </cfRule>
    <cfRule type="expression" dxfId="37" priority="47" stopIfTrue="1">
      <formula>$I38="Info Needed"</formula>
    </cfRule>
    <cfRule type="expression" dxfId="36" priority="48" stopIfTrue="1">
      <formula>$I38= "Not in spec"</formula>
    </cfRule>
  </conditionalFormatting>
  <conditionalFormatting sqref="I45">
    <cfRule type="expression" dxfId="35" priority="22" stopIfTrue="1">
      <formula>$I45="In Spec"</formula>
    </cfRule>
    <cfRule type="expression" dxfId="34" priority="23" stopIfTrue="1">
      <formula>$I45="Info Needed"</formula>
    </cfRule>
    <cfRule type="expression" dxfId="33" priority="24" stopIfTrue="1">
      <formula>$I45= "Not in spec"</formula>
    </cfRule>
  </conditionalFormatting>
  <conditionalFormatting sqref="I40">
    <cfRule type="expression" dxfId="32" priority="40" stopIfTrue="1">
      <formula>$I40="In Spec"</formula>
    </cfRule>
    <cfRule type="expression" dxfId="31" priority="41" stopIfTrue="1">
      <formula>$I40="Info Needed"</formula>
    </cfRule>
    <cfRule type="expression" dxfId="30" priority="42" stopIfTrue="1">
      <formula>$I40= "Not in spec"</formula>
    </cfRule>
  </conditionalFormatting>
  <conditionalFormatting sqref="I46">
    <cfRule type="expression" dxfId="29" priority="19" stopIfTrue="1">
      <formula>$I46="In Spec"</formula>
    </cfRule>
    <cfRule type="expression" dxfId="28" priority="20" stopIfTrue="1">
      <formula>$I46="Info Needed"</formula>
    </cfRule>
    <cfRule type="expression" dxfId="27" priority="21" stopIfTrue="1">
      <formula>$I46= "Not in spec"</formula>
    </cfRule>
  </conditionalFormatting>
  <conditionalFormatting sqref="I41">
    <cfRule type="expression" dxfId="26" priority="37" stopIfTrue="1">
      <formula>$I41="In Spec"</formula>
    </cfRule>
    <cfRule type="expression" dxfId="25" priority="38" stopIfTrue="1">
      <formula>$I41="Info Needed"</formula>
    </cfRule>
    <cfRule type="expression" dxfId="24" priority="39" stopIfTrue="1">
      <formula>$I41= "Not in spec"</formula>
    </cfRule>
  </conditionalFormatting>
  <conditionalFormatting sqref="I42">
    <cfRule type="expression" dxfId="23" priority="34" stopIfTrue="1">
      <formula>$I42="In Spec"</formula>
    </cfRule>
    <cfRule type="expression" dxfId="22" priority="35" stopIfTrue="1">
      <formula>$I42="Info Needed"</formula>
    </cfRule>
    <cfRule type="expression" dxfId="21" priority="36" stopIfTrue="1">
      <formula>$I42= "Not in spec"</formula>
    </cfRule>
  </conditionalFormatting>
  <conditionalFormatting sqref="I43">
    <cfRule type="expression" dxfId="20" priority="31" stopIfTrue="1">
      <formula>$I43="In Spec"</formula>
    </cfRule>
    <cfRule type="expression" dxfId="19" priority="32" stopIfTrue="1">
      <formula>$I43="Info Needed"</formula>
    </cfRule>
    <cfRule type="expression" dxfId="18" priority="33" stopIfTrue="1">
      <formula>$I43= "Not in spec"</formula>
    </cfRule>
  </conditionalFormatting>
  <conditionalFormatting sqref="I44">
    <cfRule type="expression" dxfId="17" priority="28" stopIfTrue="1">
      <formula>$I44="In Spec"</formula>
    </cfRule>
    <cfRule type="expression" dxfId="16" priority="29" stopIfTrue="1">
      <formula>$I44="Info Needed"</formula>
    </cfRule>
    <cfRule type="expression" dxfId="15" priority="30" stopIfTrue="1">
      <formula>$I44= "Not in spec"</formula>
    </cfRule>
  </conditionalFormatting>
  <conditionalFormatting sqref="B36">
    <cfRule type="expression" dxfId="14" priority="13" stopIfTrue="1">
      <formula>B36="Complete"</formula>
    </cfRule>
    <cfRule type="expression" dxfId="13" priority="14" stopIfTrue="1">
      <formula>B36="N/A"</formula>
    </cfRule>
    <cfRule type="expression" dxfId="12" priority="15" stopIfTrue="1">
      <formula>$B36="Missing"</formula>
    </cfRule>
  </conditionalFormatting>
  <conditionalFormatting sqref="B37">
    <cfRule type="expression" dxfId="11" priority="10" stopIfTrue="1">
      <formula>B37="Complete"</formula>
    </cfRule>
    <cfRule type="expression" dxfId="10" priority="11" stopIfTrue="1">
      <formula>B37="N/A"</formula>
    </cfRule>
    <cfRule type="expression" dxfId="9" priority="12" stopIfTrue="1">
      <formula>$B37="Missing"</formula>
    </cfRule>
  </conditionalFormatting>
  <conditionalFormatting sqref="I17">
    <cfRule type="expression" dxfId="8" priority="7" stopIfTrue="1">
      <formula>$I17="In Spec"</formula>
    </cfRule>
    <cfRule type="expression" dxfId="7" priority="8" stopIfTrue="1">
      <formula>$I17="Info Needed"</formula>
    </cfRule>
    <cfRule type="expression" dxfId="6" priority="9" stopIfTrue="1">
      <formula>$I17= "Not in spec"</formula>
    </cfRule>
  </conditionalFormatting>
  <conditionalFormatting sqref="I18">
    <cfRule type="expression" dxfId="5" priority="4" stopIfTrue="1">
      <formula>$I18="In Spec"</formula>
    </cfRule>
    <cfRule type="expression" dxfId="4" priority="5" stopIfTrue="1">
      <formula>$I18="Info Needed"</formula>
    </cfRule>
    <cfRule type="expression" dxfId="3" priority="6" stopIfTrue="1">
      <formula>$I18= "Not in spec"</formula>
    </cfRule>
  </conditionalFormatting>
  <conditionalFormatting sqref="I20">
    <cfRule type="expression" dxfId="2" priority="1" stopIfTrue="1">
      <formula>$I20="In Spec"</formula>
    </cfRule>
    <cfRule type="expression" dxfId="1" priority="2" stopIfTrue="1">
      <formula>$I20="Info Needed"</formula>
    </cfRule>
    <cfRule type="expression" dxfId="0" priority="3" stopIfTrue="1">
      <formula>$I20= "Not in spec"</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FD806-1534-4031-AA7B-9548B8ADADAC}">
  <sheetPr codeName="Sheet11"/>
  <dimension ref="A1:AE74"/>
  <sheetViews>
    <sheetView workbookViewId="0">
      <selection activeCell="A2" sqref="A2"/>
    </sheetView>
  </sheetViews>
  <sheetFormatPr defaultColWidth="8.86328125" defaultRowHeight="14.25"/>
  <cols>
    <col min="1" max="1" width="255.3984375" customWidth="1"/>
  </cols>
  <sheetData>
    <row r="1" spans="1:1" ht="57">
      <c r="A1" s="460" t="s">
        <v>1223</v>
      </c>
    </row>
    <row r="2" spans="1:1" ht="85.5">
      <c r="A2" s="460" t="s">
        <v>1061</v>
      </c>
    </row>
    <row r="3" spans="1:1" ht="42.75">
      <c r="A3" s="460" t="s">
        <v>1075</v>
      </c>
    </row>
    <row r="4" spans="1:1" ht="114">
      <c r="A4" s="460" t="s">
        <v>1063</v>
      </c>
    </row>
    <row r="5" spans="1:1">
      <c r="A5" s="827" t="s">
        <v>1062</v>
      </c>
    </row>
    <row r="6" spans="1:1" ht="57">
      <c r="A6" s="460" t="s">
        <v>1206</v>
      </c>
    </row>
    <row r="74" spans="1:31">
      <c r="A74" s="214"/>
      <c r="B74" s="214"/>
      <c r="C74" s="214"/>
      <c r="D74" s="214"/>
      <c r="E74" s="214"/>
      <c r="F74" s="214"/>
      <c r="G74" s="214"/>
      <c r="H74" s="214"/>
      <c r="I74" s="214"/>
      <c r="J74" s="214"/>
      <c r="K74" s="214"/>
      <c r="L74" s="214"/>
      <c r="M74" s="214"/>
      <c r="N74" s="214"/>
      <c r="O74" s="214"/>
      <c r="P74" s="214"/>
      <c r="Q74" s="214"/>
      <c r="R74" s="214"/>
      <c r="S74" s="214"/>
      <c r="T74" s="214"/>
      <c r="U74" s="214"/>
      <c r="V74" s="214"/>
      <c r="W74" s="214"/>
      <c r="X74" s="214"/>
      <c r="Y74" s="214"/>
      <c r="Z74" s="214"/>
      <c r="AA74" s="214"/>
      <c r="AB74" s="214"/>
      <c r="AC74" s="214"/>
      <c r="AD74" s="214"/>
      <c r="AE74" s="214"/>
    </row>
  </sheetData>
  <sheetProtection algorithmName="SHA-512" hashValue="joIdN6mekGXNv/ISRhFJS1nb9bX4iY4oKZSp9cMw09yuhEHq8DG/RjCY3MbODG5MIBEIVTyi0LuM1dESgs/D9Q==" saltValue="8q93jzIJf4oE7n1sjC50Yg==" spinCount="100000" sheet="1" objects="1" scenarios="1"/>
  <hyperlinks>
    <hyperlink ref="A5" r:id="rId1" display="mailto:KnowledgeServicesOrganization@athenahealth.com" xr:uid="{C8F38A83-FB5C-46A6-9B2E-152A18A591B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68"/>
  <sheetViews>
    <sheetView zoomScale="110" zoomScaleNormal="110" workbookViewId="0">
      <selection activeCell="H3" sqref="H3:I3"/>
    </sheetView>
  </sheetViews>
  <sheetFormatPr defaultColWidth="8.86328125" defaultRowHeight="14.25"/>
  <cols>
    <col min="3" max="3" width="9.3984375" customWidth="1"/>
    <col min="6" max="6" width="10.1328125" customWidth="1"/>
    <col min="7" max="7" width="34.3984375" customWidth="1"/>
    <col min="8" max="8" width="17.3984375" style="3" customWidth="1"/>
    <col min="9" max="9" width="20.1328125" customWidth="1"/>
    <col min="10" max="10" width="10.3984375" customWidth="1"/>
    <col min="11" max="11" width="12.3984375" customWidth="1"/>
    <col min="12" max="13" width="9.86328125" customWidth="1"/>
    <col min="14" max="14" width="25.3984375" customWidth="1"/>
    <col min="15" max="15" width="22" style="5" hidden="1" customWidth="1"/>
    <col min="16" max="16" width="10" style="5" hidden="1" customWidth="1"/>
    <col min="17" max="18" width="9.1328125" style="5" hidden="1" customWidth="1"/>
    <col min="19" max="19" width="11.86328125" style="5" hidden="1" customWidth="1"/>
    <col min="20" max="20" width="15.3984375" style="5" hidden="1" customWidth="1"/>
    <col min="21" max="21" width="46.86328125" style="5" hidden="1" customWidth="1"/>
    <col min="22" max="22" width="9.73046875" style="5" hidden="1" customWidth="1"/>
    <col min="23" max="23" width="10.1328125" style="5" hidden="1" customWidth="1"/>
    <col min="24" max="27" width="9.1328125" hidden="1" customWidth="1"/>
    <col min="28" max="44" width="9.1328125" customWidth="1"/>
    <col min="45" max="46" width="8.86328125" customWidth="1"/>
  </cols>
  <sheetData>
    <row r="1" spans="1:23" ht="18.399999999999999" thickBot="1">
      <c r="A1" s="928" t="s">
        <v>52</v>
      </c>
      <c r="B1" s="929"/>
      <c r="C1" s="929"/>
      <c r="D1" s="929"/>
      <c r="E1" s="929"/>
      <c r="F1" s="929"/>
      <c r="G1" s="929"/>
      <c r="H1" s="929"/>
      <c r="I1" s="929"/>
      <c r="J1" s="929"/>
      <c r="K1" s="929"/>
      <c r="L1" s="929"/>
      <c r="M1" s="929"/>
      <c r="N1" s="930"/>
      <c r="O1" s="5" t="s">
        <v>724</v>
      </c>
      <c r="P1" s="103" t="s">
        <v>51</v>
      </c>
      <c r="Q1" s="5" t="s">
        <v>697</v>
      </c>
      <c r="S1" t="s">
        <v>63</v>
      </c>
      <c r="T1" s="294" t="s">
        <v>60</v>
      </c>
      <c r="U1" t="s">
        <v>533</v>
      </c>
    </row>
    <row r="2" spans="1:23" ht="17.649999999999999" thickTop="1" thickBot="1">
      <c r="A2" s="946" t="s">
        <v>59</v>
      </c>
      <c r="B2" s="947"/>
      <c r="C2" s="947"/>
      <c r="D2" s="947"/>
      <c r="E2" s="947"/>
      <c r="F2" s="947"/>
      <c r="G2" s="947"/>
      <c r="H2" s="947"/>
      <c r="I2" s="947"/>
      <c r="J2" s="947"/>
      <c r="K2" s="947"/>
      <c r="L2" s="947"/>
      <c r="M2" s="947"/>
      <c r="N2" s="948"/>
      <c r="O2" s="5" t="s">
        <v>725</v>
      </c>
      <c r="P2" s="5">
        <f>IF(P1="Yes",Q2,1)</f>
        <v>1</v>
      </c>
      <c r="Q2" s="245">
        <v>1</v>
      </c>
      <c r="R2" s="5">
        <v>1.25</v>
      </c>
      <c r="S2"/>
      <c r="T2" s="25" t="s">
        <v>1080</v>
      </c>
      <c r="U2"/>
    </row>
    <row r="3" spans="1:23" ht="14.65" thickTop="1">
      <c r="A3" s="941" t="s">
        <v>46</v>
      </c>
      <c r="B3" s="942"/>
      <c r="C3" s="942"/>
      <c r="D3" s="942"/>
      <c r="E3" s="942"/>
      <c r="F3" s="942"/>
      <c r="G3" s="942"/>
      <c r="H3" s="949"/>
      <c r="I3" s="950"/>
      <c r="J3" s="932"/>
      <c r="K3" s="933"/>
      <c r="L3" s="933"/>
      <c r="M3" s="933"/>
      <c r="N3" s="934"/>
      <c r="O3" s="5" t="s">
        <v>726</v>
      </c>
      <c r="P3" s="5">
        <f>IF(P1="Yes",Q3,1)</f>
        <v>1</v>
      </c>
      <c r="Q3" s="245">
        <v>1</v>
      </c>
      <c r="R3" s="5">
        <v>2</v>
      </c>
      <c r="S3"/>
      <c r="T3" s="25" t="s">
        <v>1081</v>
      </c>
      <c r="U3"/>
    </row>
    <row r="4" spans="1:23">
      <c r="A4" s="923" t="s">
        <v>48</v>
      </c>
      <c r="B4" s="924"/>
      <c r="C4" s="924"/>
      <c r="D4" s="924"/>
      <c r="E4" s="924"/>
      <c r="F4" s="924"/>
      <c r="G4" s="924"/>
      <c r="H4" s="958"/>
      <c r="I4" s="952"/>
      <c r="J4" s="935"/>
      <c r="K4" s="936"/>
      <c r="L4" s="936"/>
      <c r="M4" s="936"/>
      <c r="N4" s="937"/>
      <c r="O4" s="5" t="s">
        <v>727</v>
      </c>
      <c r="P4" s="5">
        <f>IF(P1="Yes",Q4,1)</f>
        <v>1</v>
      </c>
      <c r="Q4" s="245">
        <v>1</v>
      </c>
      <c r="R4" s="5">
        <v>1.2</v>
      </c>
      <c r="S4"/>
      <c r="T4" s="25" t="s">
        <v>1082</v>
      </c>
      <c r="U4"/>
    </row>
    <row r="5" spans="1:23">
      <c r="A5" s="923" t="s">
        <v>47</v>
      </c>
      <c r="B5" s="924"/>
      <c r="C5" s="924"/>
      <c r="D5" s="924"/>
      <c r="E5" s="924"/>
      <c r="F5" s="924"/>
      <c r="G5" s="924"/>
      <c r="H5" s="951"/>
      <c r="I5" s="952"/>
      <c r="J5" s="935"/>
      <c r="K5" s="936"/>
      <c r="L5" s="936"/>
      <c r="M5" s="936"/>
      <c r="N5" s="937"/>
      <c r="O5" s="5" t="s">
        <v>728</v>
      </c>
      <c r="P5" s="5">
        <f>IF(P1="Yes",Q5,1)</f>
        <v>1</v>
      </c>
      <c r="Q5" s="245">
        <v>1</v>
      </c>
      <c r="R5" s="5">
        <v>2</v>
      </c>
      <c r="S5"/>
      <c r="T5" s="295" t="s">
        <v>777</v>
      </c>
      <c r="U5" s="240" t="s">
        <v>1088</v>
      </c>
      <c r="V5" s="275" t="s">
        <v>872</v>
      </c>
    </row>
    <row r="6" spans="1:23">
      <c r="A6" s="923" t="s">
        <v>1079</v>
      </c>
      <c r="B6" s="924"/>
      <c r="C6" s="924"/>
      <c r="D6" s="924"/>
      <c r="E6" s="924"/>
      <c r="F6" s="924"/>
      <c r="G6" s="924"/>
      <c r="H6" s="297" t="s">
        <v>60</v>
      </c>
      <c r="I6" s="938"/>
      <c r="J6" s="939"/>
      <c r="K6" s="939"/>
      <c r="L6" s="939"/>
      <c r="M6" s="939"/>
      <c r="N6" s="940"/>
      <c r="O6" s="5" t="s">
        <v>729</v>
      </c>
      <c r="P6" s="5">
        <f>IF(P1="Yes",Q6,1)</f>
        <v>1.2</v>
      </c>
      <c r="Q6" s="245">
        <v>1.2</v>
      </c>
      <c r="R6" s="5">
        <v>1.2</v>
      </c>
      <c r="S6" t="s">
        <v>63</v>
      </c>
      <c r="T6" s="294" t="s">
        <v>60</v>
      </c>
      <c r="U6" s="294" t="s">
        <v>60</v>
      </c>
      <c r="V6" s="294" t="s">
        <v>60</v>
      </c>
    </row>
    <row r="7" spans="1:23">
      <c r="A7" s="923" t="s">
        <v>1084</v>
      </c>
      <c r="B7" s="924"/>
      <c r="C7" s="924"/>
      <c r="D7" s="924"/>
      <c r="E7" s="924"/>
      <c r="F7" s="924"/>
      <c r="G7" s="924"/>
      <c r="H7" s="842" t="s">
        <v>60</v>
      </c>
      <c r="I7" s="938"/>
      <c r="J7" s="939"/>
      <c r="K7" s="939"/>
      <c r="L7" s="939"/>
      <c r="M7" s="939"/>
      <c r="N7" s="940"/>
      <c r="O7" s="5" t="s">
        <v>730</v>
      </c>
      <c r="P7" s="5">
        <f>IF(P1="Yes",Q7,1)</f>
        <v>1.05</v>
      </c>
      <c r="Q7" s="245">
        <v>1.05</v>
      </c>
      <c r="R7" s="5">
        <v>1.05</v>
      </c>
      <c r="S7"/>
      <c r="T7" s="53" t="s">
        <v>1142</v>
      </c>
      <c r="U7" s="25" t="s">
        <v>1083</v>
      </c>
      <c r="V7" s="25" t="s">
        <v>778</v>
      </c>
      <c r="W7"/>
    </row>
    <row r="8" spans="1:23">
      <c r="A8" s="923" t="s">
        <v>299</v>
      </c>
      <c r="B8" s="924"/>
      <c r="C8" s="924"/>
      <c r="D8" s="924"/>
      <c r="E8" s="924"/>
      <c r="F8" s="924"/>
      <c r="G8" s="924"/>
      <c r="H8" s="297"/>
      <c r="I8" s="938" t="s">
        <v>912</v>
      </c>
      <c r="J8" s="939"/>
      <c r="K8" s="939"/>
      <c r="L8" s="939"/>
      <c r="M8" s="939"/>
      <c r="N8" s="940"/>
      <c r="S8"/>
      <c r="T8" s="53" t="s">
        <v>1198</v>
      </c>
      <c r="U8" s="25">
        <v>2006</v>
      </c>
      <c r="V8" s="25" t="s">
        <v>779</v>
      </c>
      <c r="W8"/>
    </row>
    <row r="9" spans="1:23">
      <c r="A9" s="923" t="s">
        <v>312</v>
      </c>
      <c r="B9" s="924"/>
      <c r="C9" s="924"/>
      <c r="D9" s="924"/>
      <c r="E9" s="924"/>
      <c r="F9" s="924"/>
      <c r="G9" s="924"/>
      <c r="H9" s="297"/>
      <c r="I9" s="938" t="str">
        <f>IF(H9&lt;=P9,"Please include all concurrent users, including used by practitioners","WARNING: MAXIMUM supported concurrent user load exceeded!")</f>
        <v>Please include all concurrent users, including used by practitioners</v>
      </c>
      <c r="J9" s="939"/>
      <c r="K9" s="939"/>
      <c r="L9" s="939"/>
      <c r="M9" s="939"/>
      <c r="N9" s="940"/>
      <c r="O9" s="5" t="s">
        <v>720</v>
      </c>
      <c r="P9" s="5">
        <v>3500</v>
      </c>
      <c r="S9"/>
      <c r="T9" s="29" t="s">
        <v>1224</v>
      </c>
      <c r="U9" s="25">
        <v>9</v>
      </c>
      <c r="V9" s="25" t="s">
        <v>820</v>
      </c>
      <c r="W9"/>
    </row>
    <row r="10" spans="1:23" ht="31.5" customHeight="1">
      <c r="A10" s="925" t="s">
        <v>1046</v>
      </c>
      <c r="B10" s="926"/>
      <c r="C10" s="926"/>
      <c r="D10" s="926"/>
      <c r="E10" s="926"/>
      <c r="F10" s="926"/>
      <c r="G10" s="927"/>
      <c r="H10" s="298"/>
      <c r="I10" s="943" t="s">
        <v>959</v>
      </c>
      <c r="J10" s="944"/>
      <c r="K10" s="944"/>
      <c r="L10" s="944"/>
      <c r="M10" s="944"/>
      <c r="N10" s="945"/>
      <c r="O10" s="5" t="s">
        <v>866</v>
      </c>
      <c r="P10" s="5">
        <v>3000</v>
      </c>
      <c r="S10"/>
      <c r="U10" s="25">
        <v>9.5</v>
      </c>
      <c r="V10" s="25" t="s">
        <v>780</v>
      </c>
      <c r="W10"/>
    </row>
    <row r="11" spans="1:23" ht="15" customHeight="1">
      <c r="A11" s="959" t="s">
        <v>1019</v>
      </c>
      <c r="B11" s="931"/>
      <c r="C11" s="931"/>
      <c r="D11" s="931"/>
      <c r="E11" s="931"/>
      <c r="F11" s="931"/>
      <c r="G11" s="931"/>
      <c r="H11" s="297"/>
      <c r="I11" s="938"/>
      <c r="J11" s="939"/>
      <c r="K11" s="939"/>
      <c r="L11" s="939"/>
      <c r="M11" s="939"/>
      <c r="N11" s="940"/>
      <c r="S11"/>
      <c r="U11" s="25">
        <v>10.1</v>
      </c>
      <c r="V11" s="25" t="s">
        <v>873</v>
      </c>
    </row>
    <row r="12" spans="1:23" ht="45.75" customHeight="1">
      <c r="A12" s="959" t="s">
        <v>118</v>
      </c>
      <c r="B12" s="924"/>
      <c r="C12" s="924"/>
      <c r="D12" s="924"/>
      <c r="E12" s="924"/>
      <c r="F12" s="924"/>
      <c r="G12" s="924"/>
      <c r="H12" s="297" t="s">
        <v>60</v>
      </c>
      <c r="I12" s="931" t="s">
        <v>935</v>
      </c>
      <c r="J12" s="931"/>
      <c r="K12" s="931"/>
      <c r="L12" s="931"/>
      <c r="M12" s="931"/>
      <c r="N12" s="931"/>
      <c r="S12"/>
      <c r="T12" s="25"/>
      <c r="U12" s="25">
        <v>11</v>
      </c>
      <c r="V12" s="25" t="s">
        <v>781</v>
      </c>
    </row>
    <row r="13" spans="1:23">
      <c r="A13" s="959" t="s">
        <v>57</v>
      </c>
      <c r="B13" s="931"/>
      <c r="C13" s="931"/>
      <c r="D13" s="931"/>
      <c r="E13" s="931"/>
      <c r="F13" s="931"/>
      <c r="G13" s="931"/>
      <c r="H13" s="297" t="s">
        <v>60</v>
      </c>
      <c r="I13" s="938" t="s">
        <v>2</v>
      </c>
      <c r="J13" s="939"/>
      <c r="K13" s="939"/>
      <c r="L13" s="939"/>
      <c r="M13" s="939"/>
      <c r="N13" s="940"/>
      <c r="S13"/>
      <c r="T13" s="25"/>
      <c r="U13" s="25">
        <v>12</v>
      </c>
      <c r="V13" s="292" t="s">
        <v>782</v>
      </c>
    </row>
    <row r="14" spans="1:23" ht="74.099999999999994" customHeight="1" thickBot="1">
      <c r="A14" s="916" t="s">
        <v>58</v>
      </c>
      <c r="B14" s="917"/>
      <c r="C14" s="917"/>
      <c r="D14" s="917"/>
      <c r="E14" s="917"/>
      <c r="F14" s="917"/>
      <c r="G14" s="917"/>
      <c r="H14" s="695">
        <v>240</v>
      </c>
      <c r="I14" s="913" t="s">
        <v>960</v>
      </c>
      <c r="J14" s="914"/>
      <c r="K14" s="914"/>
      <c r="L14" s="914"/>
      <c r="M14" s="914"/>
      <c r="N14" s="915"/>
      <c r="S14"/>
      <c r="U14" s="25">
        <v>12.2</v>
      </c>
    </row>
    <row r="15" spans="1:23" ht="34.5" customHeight="1" thickBot="1">
      <c r="A15" s="960" t="s">
        <v>1085</v>
      </c>
      <c r="B15" s="961"/>
      <c r="C15" s="961"/>
      <c r="D15" s="961"/>
      <c r="E15" s="961"/>
      <c r="F15" s="961"/>
      <c r="G15" s="961"/>
      <c r="H15" s="961"/>
      <c r="I15" s="961"/>
      <c r="J15" s="961"/>
      <c r="K15" s="961"/>
      <c r="L15" s="961"/>
      <c r="M15" s="961"/>
      <c r="N15" s="962"/>
      <c r="S15"/>
      <c r="U15" s="25"/>
    </row>
    <row r="16" spans="1:23" ht="30.75" customHeight="1">
      <c r="A16" s="963" t="s">
        <v>1086</v>
      </c>
      <c r="B16" s="964"/>
      <c r="C16" s="964"/>
      <c r="D16" s="964"/>
      <c r="E16" s="964"/>
      <c r="F16" s="964"/>
      <c r="G16" s="964"/>
      <c r="H16" s="705"/>
      <c r="I16" s="920"/>
      <c r="J16" s="921"/>
      <c r="K16" s="921"/>
      <c r="L16" s="921"/>
      <c r="M16" s="921"/>
      <c r="N16" s="922"/>
      <c r="S16"/>
      <c r="U16"/>
    </row>
    <row r="17" spans="1:26" ht="14.25" customHeight="1">
      <c r="A17" s="918" t="s">
        <v>673</v>
      </c>
      <c r="B17" s="919"/>
      <c r="C17" s="919"/>
      <c r="D17" s="919"/>
      <c r="E17" s="919"/>
      <c r="F17" s="919"/>
      <c r="G17" s="919"/>
      <c r="H17" s="694"/>
      <c r="I17" s="970" t="s">
        <v>1087</v>
      </c>
      <c r="J17" s="970"/>
      <c r="K17" s="970"/>
      <c r="L17" s="970"/>
      <c r="M17" s="970"/>
      <c r="N17" s="971"/>
      <c r="O17" s="16">
        <f>IF(H12="Full Auditing",0.5,0.1)</f>
        <v>0.1</v>
      </c>
      <c r="P17" s="16">
        <f>IF(H12="Full Auditing",5,1)</f>
        <v>1</v>
      </c>
      <c r="Q17" s="16" t="s">
        <v>411</v>
      </c>
      <c r="S17"/>
      <c r="U17"/>
    </row>
    <row r="18" spans="1:26" ht="31.5" customHeight="1">
      <c r="A18" s="918" t="s">
        <v>674</v>
      </c>
      <c r="B18" s="919"/>
      <c r="C18" s="919"/>
      <c r="D18" s="919"/>
      <c r="E18" s="919"/>
      <c r="F18" s="919"/>
      <c r="G18" s="919"/>
      <c r="H18" s="694"/>
      <c r="I18" s="970"/>
      <c r="J18" s="970"/>
      <c r="K18" s="970"/>
      <c r="L18" s="970"/>
      <c r="M18" s="970"/>
      <c r="N18" s="971"/>
      <c r="O18" s="16"/>
      <c r="P18" s="16">
        <f>IF(H13="No",0,1)</f>
        <v>1</v>
      </c>
      <c r="Q18" s="16" t="s">
        <v>378</v>
      </c>
      <c r="S18" t="s">
        <v>63</v>
      </c>
      <c r="T18" s="294" t="s">
        <v>60</v>
      </c>
      <c r="U18" t="s">
        <v>61</v>
      </c>
      <c r="V18" s="5" t="s">
        <v>975</v>
      </c>
      <c r="W18" s="294" t="s">
        <v>60</v>
      </c>
    </row>
    <row r="19" spans="1:26" ht="30.75" customHeight="1">
      <c r="A19" s="918" t="s">
        <v>675</v>
      </c>
      <c r="B19" s="919"/>
      <c r="C19" s="919"/>
      <c r="D19" s="919"/>
      <c r="E19" s="919"/>
      <c r="F19" s="919"/>
      <c r="G19" s="919"/>
      <c r="H19" s="694"/>
      <c r="I19" s="970"/>
      <c r="J19" s="970"/>
      <c r="K19" s="970"/>
      <c r="L19" s="970"/>
      <c r="M19" s="970"/>
      <c r="N19" s="971"/>
      <c r="S19"/>
      <c r="T19" s="25" t="s">
        <v>53</v>
      </c>
      <c r="U19"/>
      <c r="W19" s="25" t="s">
        <v>51</v>
      </c>
    </row>
    <row r="20" spans="1:26" ht="30" customHeight="1">
      <c r="A20" s="965" t="s">
        <v>676</v>
      </c>
      <c r="B20" s="966"/>
      <c r="C20" s="966"/>
      <c r="D20" s="966"/>
      <c r="E20" s="966"/>
      <c r="F20" s="966"/>
      <c r="G20" s="966"/>
      <c r="H20" s="695"/>
      <c r="I20" s="967" t="s">
        <v>317</v>
      </c>
      <c r="J20" s="968"/>
      <c r="K20" s="968"/>
      <c r="L20" s="968"/>
      <c r="M20" s="968"/>
      <c r="N20" s="969"/>
      <c r="S20"/>
      <c r="T20" s="295" t="s">
        <v>54</v>
      </c>
      <c r="U20"/>
      <c r="W20" s="295" t="s">
        <v>0</v>
      </c>
    </row>
    <row r="21" spans="1:26" s="5" customFormat="1" ht="39" customHeight="1">
      <c r="A21" s="954" t="s">
        <v>1231</v>
      </c>
      <c r="B21" s="954"/>
      <c r="C21" s="954"/>
      <c r="D21" s="954"/>
      <c r="E21" s="954"/>
      <c r="F21" s="954"/>
      <c r="G21" s="954"/>
      <c r="H21" s="954"/>
      <c r="I21" s="954"/>
      <c r="J21" s="954"/>
      <c r="K21" s="954"/>
      <c r="L21" s="954"/>
      <c r="M21" s="954"/>
      <c r="N21" s="954"/>
      <c r="S21"/>
      <c r="T21" s="25"/>
      <c r="U21"/>
    </row>
    <row r="22" spans="1:26" s="5" customFormat="1" ht="69.75" customHeight="1">
      <c r="A22" s="955" t="s">
        <v>1232</v>
      </c>
      <c r="B22" s="955"/>
      <c r="C22" s="955"/>
      <c r="D22" s="955"/>
      <c r="E22" s="955"/>
      <c r="F22" s="955"/>
      <c r="G22" s="955"/>
      <c r="H22" s="898" t="s">
        <v>60</v>
      </c>
      <c r="I22" s="956" t="str">
        <f>HYPERLINK("https://athenaflex.athenahealth.com/s/article/000125493","For more details,please refer to the Knowledge Article 000125493")</f>
        <v>For more details,please refer to the Knowledge Article 000125493</v>
      </c>
      <c r="J22" s="957"/>
      <c r="K22" s="957"/>
      <c r="L22" s="957"/>
      <c r="M22" s="957"/>
      <c r="N22" s="957"/>
      <c r="S22"/>
      <c r="T22" s="25" t="s">
        <v>51</v>
      </c>
      <c r="U22"/>
    </row>
    <row r="23" spans="1:26" s="5" customFormat="1">
      <c r="A23" s="8"/>
      <c r="G23" s="6"/>
      <c r="H23" s="12"/>
      <c r="S23"/>
      <c r="T23" s="295" t="s">
        <v>0</v>
      </c>
      <c r="U23"/>
    </row>
    <row r="24" spans="1:26" s="5" customFormat="1">
      <c r="B24" s="19"/>
      <c r="G24" s="6"/>
      <c r="H24" s="12"/>
    </row>
    <row r="25" spans="1:26" s="5" customFormat="1">
      <c r="H25" s="12"/>
      <c r="S25" t="s">
        <v>63</v>
      </c>
      <c r="T25" t="s">
        <v>60</v>
      </c>
      <c r="U25" s="953"/>
      <c r="V25" s="953"/>
      <c r="W25" s="953"/>
      <c r="X25" s="953"/>
      <c r="Y25" s="953"/>
      <c r="Z25" s="953"/>
    </row>
    <row r="26" spans="1:26" s="5" customFormat="1">
      <c r="H26" s="12"/>
      <c r="T26" s="255" t="s">
        <v>51</v>
      </c>
    </row>
    <row r="27" spans="1:26" s="5" customFormat="1">
      <c r="H27" s="12"/>
      <c r="T27" t="s">
        <v>0</v>
      </c>
    </row>
    <row r="28" spans="1:26" s="5" customFormat="1">
      <c r="H28" s="12"/>
      <c r="T28"/>
    </row>
    <row r="29" spans="1:26" s="5" customFormat="1">
      <c r="H29" s="12"/>
    </row>
    <row r="30" spans="1:26" s="5" customFormat="1">
      <c r="H30" s="12"/>
    </row>
    <row r="31" spans="1:26" s="5" customFormat="1">
      <c r="H31" s="12"/>
      <c r="T31" s="9"/>
    </row>
    <row r="32" spans="1:26" s="5" customFormat="1">
      <c r="H32" s="12"/>
    </row>
    <row r="33" spans="8:8" s="5" customFormat="1">
      <c r="H33" s="12"/>
    </row>
    <row r="34" spans="8:8" s="5" customFormat="1">
      <c r="H34" s="12"/>
    </row>
    <row r="35" spans="8:8" s="5" customFormat="1">
      <c r="H35" s="12"/>
    </row>
    <row r="36" spans="8:8" s="5" customFormat="1">
      <c r="H36" s="12"/>
    </row>
    <row r="37" spans="8:8" s="5" customFormat="1">
      <c r="H37" s="12"/>
    </row>
    <row r="38" spans="8:8" s="5" customFormat="1">
      <c r="H38" s="12"/>
    </row>
    <row r="39" spans="8:8" s="5" customFormat="1">
      <c r="H39" s="12"/>
    </row>
    <row r="40" spans="8:8" s="5" customFormat="1">
      <c r="H40" s="12"/>
    </row>
    <row r="41" spans="8:8" s="5" customFormat="1">
      <c r="H41" s="12"/>
    </row>
    <row r="42" spans="8:8" s="5" customFormat="1">
      <c r="H42" s="12"/>
    </row>
    <row r="43" spans="8:8" s="5" customFormat="1">
      <c r="H43" s="12"/>
    </row>
    <row r="44" spans="8:8" s="5" customFormat="1">
      <c r="H44" s="12"/>
    </row>
    <row r="45" spans="8:8" s="5" customFormat="1">
      <c r="H45" s="12"/>
    </row>
    <row r="46" spans="8:8" s="5" customFormat="1">
      <c r="H46" s="12"/>
    </row>
    <row r="47" spans="8:8" s="5" customFormat="1">
      <c r="H47" s="12"/>
    </row>
    <row r="48" spans="8:8" s="5" customFormat="1">
      <c r="H48" s="12"/>
    </row>
    <row r="49" spans="8:8" s="5" customFormat="1">
      <c r="H49" s="12"/>
    </row>
    <row r="50" spans="8:8" s="5" customFormat="1">
      <c r="H50" s="12"/>
    </row>
    <row r="51" spans="8:8" s="5" customFormat="1">
      <c r="H51" s="12"/>
    </row>
    <row r="52" spans="8:8" s="5" customFormat="1">
      <c r="H52" s="12"/>
    </row>
    <row r="53" spans="8:8" s="5" customFormat="1">
      <c r="H53" s="12"/>
    </row>
    <row r="54" spans="8:8" s="5" customFormat="1">
      <c r="H54" s="12"/>
    </row>
    <row r="55" spans="8:8" s="5" customFormat="1">
      <c r="H55" s="12"/>
    </row>
    <row r="56" spans="8:8" s="5" customFormat="1">
      <c r="H56" s="12"/>
    </row>
    <row r="57" spans="8:8" s="5" customFormat="1">
      <c r="H57" s="12"/>
    </row>
    <row r="58" spans="8:8" s="5" customFormat="1">
      <c r="H58" s="12"/>
    </row>
    <row r="59" spans="8:8" s="5" customFormat="1">
      <c r="H59" s="12"/>
    </row>
    <row r="60" spans="8:8" s="5" customFormat="1">
      <c r="H60" s="12"/>
    </row>
    <row r="61" spans="8:8" s="5" customFormat="1">
      <c r="H61" s="12"/>
    </row>
    <row r="62" spans="8:8" s="5" customFormat="1">
      <c r="H62" s="12"/>
    </row>
    <row r="63" spans="8:8" s="5" customFormat="1">
      <c r="H63" s="12"/>
    </row>
    <row r="64" spans="8:8" s="5" customFormat="1">
      <c r="H64" s="12"/>
    </row>
    <row r="65" spans="8:8" s="5" customFormat="1">
      <c r="H65" s="12"/>
    </row>
    <row r="66" spans="8:8" s="5" customFormat="1">
      <c r="H66" s="12"/>
    </row>
    <row r="67" spans="8:8" s="5" customFormat="1">
      <c r="H67" s="12"/>
    </row>
    <row r="68" spans="8:8" s="5" customFormat="1">
      <c r="H68" s="12"/>
    </row>
  </sheetData>
  <sheetProtection algorithmName="SHA-512" hashValue="GMswaX0N+9XYUxWc2vsFqw2tUfCiqFy9/IgzWHeOxc4A1fywBT/uMpCrAIo4P5Do5616dm4pe8x3zHArgzTTQQ==" saltValue="9kCt2H+pzgcqfyDIqgnW+A==" spinCount="100000" sheet="1" objects="1" scenarios="1"/>
  <dataConsolidate/>
  <mergeCells count="42">
    <mergeCell ref="U25:Z25"/>
    <mergeCell ref="A21:N21"/>
    <mergeCell ref="A22:G22"/>
    <mergeCell ref="I22:N22"/>
    <mergeCell ref="H4:I4"/>
    <mergeCell ref="A5:G5"/>
    <mergeCell ref="A11:G11"/>
    <mergeCell ref="A12:G12"/>
    <mergeCell ref="A19:G19"/>
    <mergeCell ref="A15:N15"/>
    <mergeCell ref="I13:N13"/>
    <mergeCell ref="A13:G13"/>
    <mergeCell ref="A16:G16"/>
    <mergeCell ref="A20:G20"/>
    <mergeCell ref="I20:N20"/>
    <mergeCell ref="I17:N19"/>
    <mergeCell ref="A1:N1"/>
    <mergeCell ref="I12:N12"/>
    <mergeCell ref="J3:N3"/>
    <mergeCell ref="J4:N4"/>
    <mergeCell ref="J5:N5"/>
    <mergeCell ref="I6:N6"/>
    <mergeCell ref="I7:N7"/>
    <mergeCell ref="I8:N8"/>
    <mergeCell ref="I9:N9"/>
    <mergeCell ref="A3:G3"/>
    <mergeCell ref="I10:N10"/>
    <mergeCell ref="I11:N11"/>
    <mergeCell ref="A2:N2"/>
    <mergeCell ref="H3:I3"/>
    <mergeCell ref="A4:G4"/>
    <mergeCell ref="H5:I5"/>
    <mergeCell ref="A6:G6"/>
    <mergeCell ref="A7:G7"/>
    <mergeCell ref="A8:G8"/>
    <mergeCell ref="A9:G9"/>
    <mergeCell ref="A10:G10"/>
    <mergeCell ref="I14:N14"/>
    <mergeCell ref="A14:G14"/>
    <mergeCell ref="A17:G17"/>
    <mergeCell ref="A18:G18"/>
    <mergeCell ref="I16:N16"/>
  </mergeCells>
  <conditionalFormatting sqref="I9:N9">
    <cfRule type="containsText" dxfId="1367" priority="20" operator="containsText" text="WARNING:">
      <formula>NOT(ISERROR(SEARCH("WARNING:",I9)))</formula>
    </cfRule>
  </conditionalFormatting>
  <conditionalFormatting sqref="A17:N20">
    <cfRule type="expression" dxfId="1366" priority="11">
      <formula>$H$16="Yes"</formula>
    </cfRule>
  </conditionalFormatting>
  <conditionalFormatting sqref="A16:N20">
    <cfRule type="expression" dxfId="1365" priority="10">
      <formula>$H$6="CPS (PM Only)"</formula>
    </cfRule>
  </conditionalFormatting>
  <conditionalFormatting sqref="A22:N22">
    <cfRule type="expression" dxfId="1364" priority="4">
      <formula>$H$9&lt;100</formula>
    </cfRule>
  </conditionalFormatting>
  <conditionalFormatting sqref="A21:N21">
    <cfRule type="expression" dxfId="1363" priority="3">
      <formula>$H$9&lt;100</formula>
    </cfRule>
  </conditionalFormatting>
  <conditionalFormatting sqref="I22:N22">
    <cfRule type="expression" dxfId="1362" priority="2">
      <formula>$H22="No"</formula>
    </cfRule>
    <cfRule type="expression" dxfId="1361" priority="1">
      <formula>H22="Select One:"</formula>
    </cfRule>
  </conditionalFormatting>
  <dataValidations count="10">
    <dataValidation type="list" showInputMessage="1" showErrorMessage="1" sqref="H6" xr:uid="{00000000-0002-0000-0100-000001000000}">
      <formula1>$T$1:$T$4</formula1>
    </dataValidation>
    <dataValidation type="list" allowBlank="1" showInputMessage="1" showErrorMessage="1" sqref="H12" xr:uid="{00000000-0002-0000-0100-000002000000}">
      <formula1>$T$18:$T$20</formula1>
    </dataValidation>
    <dataValidation type="list" allowBlank="1" showInputMessage="1" showErrorMessage="1" sqref="H16" xr:uid="{5A0BC80E-4585-41C1-9EFC-A6645E38259E}">
      <formula1>$W$18:$W$20</formula1>
    </dataValidation>
    <dataValidation type="whole" allowBlank="1" showInputMessage="1" showErrorMessage="1" sqref="H8:H9" xr:uid="{08FE0151-6C9E-40F7-97DB-C217F8796089}">
      <formula1>0</formula1>
      <formula2>6000</formula2>
    </dataValidation>
    <dataValidation type="whole" allowBlank="1" showInputMessage="1" showErrorMessage="1" sqref="H10" xr:uid="{4CF613C7-A006-4F3E-AAD0-358CCF9F4A95}">
      <formula1>0</formula1>
      <formula2>15</formula2>
    </dataValidation>
    <dataValidation type="whole" allowBlank="1" showInputMessage="1" showErrorMessage="1" sqref="H11" xr:uid="{02C56EA8-4BAB-4EFE-9CB6-04FF1117E0A2}">
      <formula1>0</formula1>
      <formula2>200000000</formula2>
    </dataValidation>
    <dataValidation type="whole" allowBlank="1" showInputMessage="1" showErrorMessage="1" sqref="H14" xr:uid="{A7894BA6-95D1-4B9E-B0EB-CD08472DB88E}">
      <formula1>200</formula1>
      <formula2>2000</formula2>
    </dataValidation>
    <dataValidation type="list" allowBlank="1" showInputMessage="1" showErrorMessage="1" sqref="H7" xr:uid="{00000000-0002-0000-0100-000003000000}">
      <formula1>$T$6:$T$13</formula1>
    </dataValidation>
    <dataValidation type="list" allowBlank="1" showInputMessage="1" showErrorMessage="1" sqref="H22" xr:uid="{FA2FE838-2102-4E99-9FD4-E27CCEE67D1C}">
      <formula1>$T$25:$T$27</formula1>
    </dataValidation>
    <dataValidation type="list" allowBlank="1" showInputMessage="1" showErrorMessage="1" sqref="H13" xr:uid="{00000000-0002-0000-0100-000000000000}">
      <formula1>$T$21:$T$23</formula1>
    </dataValidation>
  </dataValidations>
  <pageMargins left="0.7" right="0.7" top="0.75" bottom="0.75" header="0.3" footer="0.3"/>
  <pageSetup orientation="portrait" horizontalDpi="90" verticalDpi="90" r:id="rId1"/>
  <drawing r:id="rId2"/>
  <legacyDrawing r:id="rId3"/>
  <mc:AlternateContent xmlns:mc="http://schemas.openxmlformats.org/markup-compatibility/2006">
    <mc:Choice Requires="x14">
      <controls>
        <mc:AlternateContent xmlns:mc="http://schemas.openxmlformats.org/markup-compatibility/2006">
          <mc:Choice Requires="x14">
            <control shapeId="4160" r:id="rId4" name="Button 64">
              <controlPr defaultSize="0" print="0" autoFill="0" autoPict="0" macro="[0]!Reset_Clinical_Info">
                <anchor moveWithCells="1" sizeWithCells="1">
                  <from>
                    <xdr:col>0</xdr:col>
                    <xdr:colOff>9525</xdr:colOff>
                    <xdr:row>0</xdr:row>
                    <xdr:rowOff>28575</xdr:rowOff>
                  </from>
                  <to>
                    <xdr:col>1</xdr:col>
                    <xdr:colOff>390525</xdr:colOff>
                    <xdr:row>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1">
    <tabColor theme="3" tint="0.79998168889431442"/>
  </sheetPr>
  <dimension ref="A1:BC202"/>
  <sheetViews>
    <sheetView showGridLines="0" zoomScale="110" zoomScaleNormal="110" workbookViewId="0">
      <selection activeCell="K3" sqref="K3"/>
    </sheetView>
  </sheetViews>
  <sheetFormatPr defaultColWidth="8.86328125" defaultRowHeight="14.25"/>
  <cols>
    <col min="1" max="1" width="8.3984375" customWidth="1"/>
    <col min="2" max="2" width="12" customWidth="1"/>
    <col min="3" max="3" width="15.265625" customWidth="1"/>
    <col min="4" max="4" width="10.86328125" customWidth="1"/>
    <col min="5" max="6" width="9.3984375" customWidth="1"/>
    <col min="7" max="7" width="12" customWidth="1"/>
    <col min="8" max="8" width="18" customWidth="1"/>
    <col min="9" max="10" width="12.1328125" customWidth="1"/>
    <col min="11" max="11" width="38.73046875" style="505" customWidth="1"/>
    <col min="12" max="12" width="8.86328125" customWidth="1"/>
    <col min="13" max="13" width="11.1328125" style="3" customWidth="1"/>
    <col min="14" max="14" width="11.3984375" style="3" customWidth="1"/>
    <col min="15" max="15" width="57" customWidth="1"/>
    <col min="16" max="16" width="14.73046875" style="5" hidden="1" customWidth="1"/>
    <col min="17" max="17" width="13.3984375" style="5" hidden="1" customWidth="1"/>
    <col min="18" max="18" width="11.1328125" style="5" hidden="1" customWidth="1"/>
    <col min="19" max="19" width="11" style="5" hidden="1" customWidth="1"/>
    <col min="20" max="20" width="19.3984375" style="5" hidden="1" customWidth="1"/>
    <col min="21" max="21" width="36.73046875" style="479" hidden="1" customWidth="1"/>
    <col min="22" max="22" width="45.3984375" style="479" hidden="1" customWidth="1"/>
    <col min="23" max="24" width="9.1328125" style="5" hidden="1" customWidth="1"/>
    <col min="25" max="25" width="24.265625" style="5" hidden="1" customWidth="1"/>
    <col min="26" max="26" width="27.3984375" style="5" hidden="1" customWidth="1"/>
    <col min="27" max="27" width="12" style="479" hidden="1" customWidth="1"/>
    <col min="28" max="28" width="7.86328125" style="5" hidden="1" customWidth="1"/>
    <col min="29" max="29" width="11.86328125" style="5" hidden="1" customWidth="1"/>
    <col min="30" max="48" width="9.1328125" style="5" hidden="1" customWidth="1"/>
    <col min="49" max="54" width="9.1328125" style="5" customWidth="1"/>
    <col min="55" max="55" width="9.1328125" customWidth="1"/>
  </cols>
  <sheetData>
    <row r="1" spans="1:28" ht="18.399999999999999" thickBot="1">
      <c r="A1" s="1056" t="s">
        <v>52</v>
      </c>
      <c r="B1" s="1030"/>
      <c r="C1" s="1030"/>
      <c r="D1" s="1030"/>
      <c r="E1" s="1030"/>
      <c r="F1" s="1030"/>
      <c r="G1" s="1030"/>
      <c r="H1" s="1030"/>
      <c r="I1" s="1030"/>
      <c r="J1" s="1030"/>
      <c r="K1" s="1030"/>
      <c r="L1" s="1030"/>
      <c r="M1" s="1030"/>
      <c r="N1" s="1030"/>
      <c r="O1" s="1038"/>
      <c r="Q1" s="5">
        <f>'Clinical Info'!P2</f>
        <v>1</v>
      </c>
      <c r="R1" s="5" t="s">
        <v>731</v>
      </c>
    </row>
    <row r="2" spans="1:28" ht="33" customHeight="1" thickBot="1">
      <c r="A2" s="996" t="s">
        <v>733</v>
      </c>
      <c r="B2" s="997"/>
      <c r="C2" s="997"/>
      <c r="D2" s="997"/>
      <c r="E2" s="997"/>
      <c r="F2" s="997"/>
      <c r="G2" s="997"/>
      <c r="H2" s="997"/>
      <c r="I2" s="997"/>
      <c r="J2" s="997"/>
      <c r="K2" s="997"/>
      <c r="L2" s="997"/>
      <c r="M2" s="997"/>
      <c r="N2" s="997"/>
      <c r="O2" s="998"/>
      <c r="Q2" s="5">
        <f>Q3*1.05</f>
        <v>1.5225000000000001E-2</v>
      </c>
      <c r="R2" s="5" t="s">
        <v>516</v>
      </c>
      <c r="T2" s="254" t="s">
        <v>64</v>
      </c>
      <c r="U2" s="480" t="s">
        <v>60</v>
      </c>
      <c r="V2" s="506" t="s">
        <v>78</v>
      </c>
    </row>
    <row r="3" spans="1:28">
      <c r="A3" s="1009" t="s">
        <v>655</v>
      </c>
      <c r="B3" s="1010"/>
      <c r="C3" s="1010"/>
      <c r="D3" s="1010"/>
      <c r="E3" s="1010"/>
      <c r="F3" s="1010"/>
      <c r="G3" s="1010"/>
      <c r="H3" s="1010"/>
      <c r="I3" s="1010"/>
      <c r="J3" s="1010"/>
      <c r="K3" s="487" t="s">
        <v>60</v>
      </c>
      <c r="L3" s="213"/>
      <c r="M3" s="214"/>
      <c r="N3" s="103">
        <v>1</v>
      </c>
      <c r="O3" s="215" t="s">
        <v>566</v>
      </c>
      <c r="P3" s="5" t="s">
        <v>705</v>
      </c>
      <c r="Q3" s="5">
        <v>1.4500000000000001E-2</v>
      </c>
      <c r="R3" s="5" t="s">
        <v>517</v>
      </c>
      <c r="T3" s="257"/>
      <c r="U3" s="481" t="s">
        <v>65</v>
      </c>
      <c r="V3" s="460"/>
    </row>
    <row r="4" spans="1:28">
      <c r="A4" s="992" t="s">
        <v>254</v>
      </c>
      <c r="B4" s="924"/>
      <c r="C4" s="924"/>
      <c r="D4" s="924"/>
      <c r="E4" s="924"/>
      <c r="F4" s="924"/>
      <c r="G4" s="924"/>
      <c r="H4" s="924"/>
      <c r="I4" s="924"/>
      <c r="J4" s="924"/>
      <c r="K4" s="488" t="s">
        <v>60</v>
      </c>
      <c r="L4" s="240"/>
      <c r="M4" s="982" t="s">
        <v>60</v>
      </c>
      <c r="N4" s="983"/>
      <c r="O4" s="1060" t="str">
        <f>IF(K4="Yes",(IF(Q4&gt;=25,"WARNING: Too many users for DB and App on one server.  Athena recommendation is separate DB and App servers.","")),IF(K4="No","     &lt; Will the App Server be virtualized?",""))</f>
        <v/>
      </c>
      <c r="P4" s="16">
        <f>IF(ISBLANK('Clinical Info'!H9),'Clinical Info'!H8*3,'Clinical Info'!H9)</f>
        <v>0</v>
      </c>
      <c r="Q4" s="17">
        <f>IF(ISBLANK('Clinical Info'!H9),'Clinical Info'!H8*3,'Clinical Info'!H9)</f>
        <v>0</v>
      </c>
      <c r="R4" s="16" t="s">
        <v>95</v>
      </c>
      <c r="T4" s="257"/>
      <c r="U4" s="481" t="s">
        <v>66</v>
      </c>
      <c r="V4" s="460"/>
    </row>
    <row r="5" spans="1:28" ht="14.25" customHeight="1">
      <c r="A5" s="992" t="s">
        <v>1108</v>
      </c>
      <c r="B5" s="924"/>
      <c r="C5" s="924"/>
      <c r="D5" s="924"/>
      <c r="E5" s="924"/>
      <c r="F5" s="924"/>
      <c r="G5" s="924"/>
      <c r="H5" s="924"/>
      <c r="I5" s="924"/>
      <c r="J5" s="924"/>
      <c r="K5" s="488"/>
      <c r="L5" s="1057" t="s">
        <v>1107</v>
      </c>
      <c r="M5" s="1058"/>
      <c r="N5" s="1059"/>
      <c r="O5" s="1061"/>
      <c r="P5" s="16"/>
      <c r="Q5" s="66" t="b">
        <f>IF(K3="Not Virtualized",1,IF(K3="Yes - VMWare",2,IF(K3="Yes- Hyper-V",3)))</f>
        <v>0</v>
      </c>
      <c r="R5" s="16" t="s">
        <v>96</v>
      </c>
      <c r="T5" s="213"/>
      <c r="U5" s="477" t="s">
        <v>442</v>
      </c>
      <c r="V5" s="460"/>
    </row>
    <row r="6" spans="1:28" ht="26.25" hidden="1" customHeight="1">
      <c r="A6" s="1001" t="s">
        <v>318</v>
      </c>
      <c r="B6" s="1002"/>
      <c r="C6" s="1002"/>
      <c r="D6" s="1002"/>
      <c r="E6" s="1002"/>
      <c r="F6" s="1002"/>
      <c r="G6" s="1002"/>
      <c r="H6" s="1002"/>
      <c r="I6" s="1002"/>
      <c r="J6" s="1003"/>
      <c r="K6" s="488"/>
      <c r="L6" s="1004" t="s">
        <v>551</v>
      </c>
      <c r="M6" s="1002"/>
      <c r="N6" s="1002"/>
      <c r="O6" s="1005"/>
      <c r="Q6" s="16">
        <f>'Clinical Info'!P17</f>
        <v>1</v>
      </c>
      <c r="R6" s="16" t="s">
        <v>377</v>
      </c>
      <c r="T6"/>
      <c r="U6" s="460"/>
      <c r="V6" s="460"/>
    </row>
    <row r="7" spans="1:28" ht="31.5" customHeight="1">
      <c r="A7" s="1014" t="s">
        <v>1089</v>
      </c>
      <c r="B7" s="1015"/>
      <c r="C7" s="1015"/>
      <c r="D7" s="1015"/>
      <c r="E7" s="1015"/>
      <c r="F7" s="1015"/>
      <c r="G7" s="1015"/>
      <c r="H7" s="1015"/>
      <c r="I7" s="1015"/>
      <c r="J7" s="1016"/>
      <c r="K7" s="489" t="s">
        <v>60</v>
      </c>
      <c r="L7" s="1017" t="s">
        <v>557</v>
      </c>
      <c r="M7" s="1015"/>
      <c r="N7" s="1015"/>
      <c r="O7" s="1018"/>
      <c r="Q7" s="16">
        <f>'Clinical Info'!P18*Q9</f>
        <v>0.65</v>
      </c>
      <c r="R7" s="16" t="s">
        <v>378</v>
      </c>
      <c r="T7" s="254" t="s">
        <v>64</v>
      </c>
      <c r="U7" s="480" t="s">
        <v>60</v>
      </c>
      <c r="V7" s="506" t="s">
        <v>67</v>
      </c>
    </row>
    <row r="8" spans="1:28">
      <c r="A8" s="992" t="s">
        <v>1074</v>
      </c>
      <c r="B8" s="924"/>
      <c r="C8" s="924"/>
      <c r="D8" s="924"/>
      <c r="E8" s="924"/>
      <c r="F8" s="924"/>
      <c r="G8" s="924"/>
      <c r="H8" s="924"/>
      <c r="I8" s="924"/>
      <c r="J8" s="924"/>
      <c r="K8" s="488"/>
      <c r="L8" s="985" t="s">
        <v>5</v>
      </c>
      <c r="M8" s="999"/>
      <c r="N8" s="999"/>
      <c r="O8" s="1006"/>
      <c r="Q8" s="152"/>
      <c r="T8" s="257"/>
      <c r="U8" s="481" t="s">
        <v>51</v>
      </c>
      <c r="V8" s="507" t="s">
        <v>706</v>
      </c>
      <c r="W8" s="255" t="s">
        <v>60</v>
      </c>
      <c r="X8" s="256"/>
      <c r="Y8" s="974" t="s">
        <v>936</v>
      </c>
      <c r="Z8" s="975"/>
      <c r="AA8" s="975"/>
      <c r="AB8" s="975"/>
    </row>
    <row r="9" spans="1:28" ht="48" customHeight="1">
      <c r="A9" s="1009" t="s">
        <v>920</v>
      </c>
      <c r="B9" s="1010"/>
      <c r="C9" s="1010"/>
      <c r="D9" s="1010"/>
      <c r="E9" s="1010"/>
      <c r="F9" s="1010"/>
      <c r="G9" s="1010"/>
      <c r="H9" s="1010"/>
      <c r="I9" s="1010"/>
      <c r="J9" s="1010"/>
      <c r="K9" s="488" t="s">
        <v>60</v>
      </c>
      <c r="L9" s="1011"/>
      <c r="M9" s="1012"/>
      <c r="N9" s="1012"/>
      <c r="O9" s="1013"/>
      <c r="Q9" s="5">
        <v>0.65</v>
      </c>
      <c r="R9" s="5" t="s">
        <v>492</v>
      </c>
      <c r="T9" s="213"/>
      <c r="U9" s="477" t="s">
        <v>0</v>
      </c>
      <c r="V9" s="460"/>
      <c r="W9" t="s">
        <v>51</v>
      </c>
      <c r="X9" s="5">
        <f>IF(M11="Yes",2,0)</f>
        <v>0</v>
      </c>
      <c r="Y9" s="209" t="s">
        <v>937</v>
      </c>
      <c r="Z9" s="508">
        <f>'Clinical Info'!H9</f>
        <v>0</v>
      </c>
      <c r="AA9" s="972" t="s">
        <v>944</v>
      </c>
      <c r="AB9" s="973"/>
    </row>
    <row r="10" spans="1:28" ht="75" customHeight="1" thickBot="1">
      <c r="A10" s="1019" t="s">
        <v>1090</v>
      </c>
      <c r="B10" s="1010"/>
      <c r="C10" s="1010"/>
      <c r="D10" s="1010"/>
      <c r="E10" s="1010"/>
      <c r="F10" s="1010"/>
      <c r="G10" s="1010"/>
      <c r="H10" s="1010"/>
      <c r="I10" s="1010"/>
      <c r="J10" s="1010"/>
      <c r="K10" s="488" t="s">
        <v>60</v>
      </c>
      <c r="L10" s="1011"/>
      <c r="M10" s="1012"/>
      <c r="N10" s="1012"/>
      <c r="O10" s="1013"/>
      <c r="T10"/>
      <c r="U10" s="460"/>
      <c r="V10" s="478"/>
      <c r="W10" s="214" t="s">
        <v>0</v>
      </c>
      <c r="X10" s="325"/>
      <c r="Y10" s="209" t="s">
        <v>938</v>
      </c>
      <c r="Z10" s="509">
        <v>55</v>
      </c>
      <c r="AA10" s="514" t="s">
        <v>942</v>
      </c>
      <c r="AB10" s="209">
        <v>12</v>
      </c>
    </row>
    <row r="11" spans="1:28" ht="28.9" thickBot="1">
      <c r="A11" s="992" t="s">
        <v>111</v>
      </c>
      <c r="B11" s="924"/>
      <c r="C11" s="924"/>
      <c r="D11" s="924"/>
      <c r="E11" s="924"/>
      <c r="F11" s="924"/>
      <c r="G11" s="924"/>
      <c r="H11" s="924"/>
      <c r="I11" s="924"/>
      <c r="J11" s="924"/>
      <c r="K11" s="488"/>
      <c r="L11" s="213" t="s">
        <v>1073</v>
      </c>
      <c r="M11" s="105" t="s">
        <v>60</v>
      </c>
      <c r="N11" s="214" t="s">
        <v>708</v>
      </c>
      <c r="O11" s="215"/>
      <c r="P11" s="268">
        <f>ROUNDUP(Q12/10,0)*Q11</f>
        <v>1024</v>
      </c>
      <c r="Q11" s="5">
        <v>1024</v>
      </c>
      <c r="R11" s="5" t="s">
        <v>548</v>
      </c>
      <c r="T11"/>
      <c r="U11" s="460"/>
      <c r="V11" s="460"/>
      <c r="Y11" s="209" t="s">
        <v>939</v>
      </c>
      <c r="Z11" s="509">
        <v>4</v>
      </c>
      <c r="AA11" s="514" t="s">
        <v>941</v>
      </c>
      <c r="AB11" s="209">
        <v>16</v>
      </c>
    </row>
    <row r="12" spans="1:28" ht="28.9" thickBot="1">
      <c r="A12" s="1007" t="s">
        <v>68</v>
      </c>
      <c r="B12" s="1008"/>
      <c r="C12" s="1008"/>
      <c r="D12" s="1008"/>
      <c r="E12" s="1008"/>
      <c r="F12" s="1008"/>
      <c r="G12" s="1008"/>
      <c r="H12" s="1008"/>
      <c r="I12" s="1008"/>
      <c r="J12" s="1008"/>
      <c r="K12" s="490">
        <f>IF(K7="Yes",1600,0)</f>
        <v>0</v>
      </c>
      <c r="L12" s="1069" t="s">
        <v>1</v>
      </c>
      <c r="M12" s="1070"/>
      <c r="N12" s="1070"/>
      <c r="O12" s="1071"/>
      <c r="Q12" s="5">
        <f>EVEN(ROUNDUP(IF(Q4&lt;126,2,IF(Q4&lt;126,3,(Q4*Q2)))*Q1,0))+X9</f>
        <v>2</v>
      </c>
      <c r="R12" s="5" t="s">
        <v>518</v>
      </c>
      <c r="T12" s="254" t="s">
        <v>64</v>
      </c>
      <c r="U12" s="480" t="s">
        <v>60</v>
      </c>
      <c r="V12" s="465" t="s">
        <v>22</v>
      </c>
      <c r="Y12" s="516" t="s">
        <v>940</v>
      </c>
      <c r="Z12" s="513">
        <f>'Virtualized Config Checklist'!B8</f>
        <v>4</v>
      </c>
      <c r="AA12" s="515" t="s">
        <v>943</v>
      </c>
      <c r="AB12" s="512">
        <f>'Virtualized Config Checklist'!B9</f>
        <v>12</v>
      </c>
    </row>
    <row r="13" spans="1:28" ht="14.65" thickBot="1">
      <c r="A13" s="996" t="s">
        <v>94</v>
      </c>
      <c r="B13" s="997"/>
      <c r="C13" s="997"/>
      <c r="D13" s="997"/>
      <c r="E13" s="997"/>
      <c r="F13" s="997"/>
      <c r="G13" s="997"/>
      <c r="H13" s="997"/>
      <c r="I13" s="997"/>
      <c r="J13" s="997"/>
      <c r="K13" s="997"/>
      <c r="L13" s="997"/>
      <c r="M13" s="997"/>
      <c r="N13" s="997"/>
      <c r="O13" s="998"/>
      <c r="T13" s="257"/>
      <c r="U13" s="481" t="s">
        <v>51</v>
      </c>
      <c r="V13" s="460"/>
    </row>
    <row r="14" spans="1:28" ht="14.65" thickBot="1">
      <c r="A14" s="1020" t="s">
        <v>1091</v>
      </c>
      <c r="B14" s="1021"/>
      <c r="C14" s="1021"/>
      <c r="D14" s="1021"/>
      <c r="E14" s="1021"/>
      <c r="F14" s="1021"/>
      <c r="G14" s="1021"/>
      <c r="H14" s="1021"/>
      <c r="I14" s="1021"/>
      <c r="J14" s="1022"/>
      <c r="K14" s="491">
        <f>P14/1024</f>
        <v>0</v>
      </c>
      <c r="L14" s="180" t="s">
        <v>5</v>
      </c>
      <c r="M14" s="176"/>
      <c r="N14" s="176"/>
      <c r="O14" s="181"/>
      <c r="P14" s="173">
        <f>IF(AND(ISBLANK('Clinical Info'!H8),AND(ISBLANK('Clinical Info'!H10),AND(ISBLANK('Clinical Info'!H11),ISBLANK('Clinical Info'!H20)))),0,1200+K12+(K5+K6)*1024+(2*P4)+(50*'Clinical Info'!H8*'Clinical Info'!H10)+IF(ISBLANK('Clinical Info'!H17),0,(IF(ISBLANK('Clinical Info'!H19),0,(40*'Clinical Info'!H8*5*52*'Clinical Info'!H10*2*'Clinical Info'!H19*'Clinical Info'!H17))+IF(ISBLANK('Clinical Info'!#REF!),0,(40*'Clinical Info'!H8*5*52*'Clinical Info'!H10*0.05*'Clinical Info'!#REF!*'Clinical Info'!H17))))+(5*Q4)+IF('Clinical Info'!H13="Yes",1,0)*(30960+'Clinical Info'!H10*3096)+'Clinical Info'!O17*ROUNDUP((0.75*4*'Clinical Info'!H8),0)*('Clinical Info'!H10*52*5)+(5*ROUNDUP(('Clinical Info'!H11/10000),0))+(90*ROUNDUP(('Clinical Info'!H20/10000),0)))</f>
        <v>0</v>
      </c>
      <c r="Q14" s="74" t="s">
        <v>70</v>
      </c>
      <c r="T14" s="213"/>
      <c r="U14" s="477" t="s">
        <v>0</v>
      </c>
      <c r="V14" s="460"/>
    </row>
    <row r="15" spans="1:28" ht="16.5" customHeight="1" thickTop="1" thickBot="1">
      <c r="A15" s="993" t="s">
        <v>69</v>
      </c>
      <c r="B15" s="999"/>
      <c r="C15" s="999"/>
      <c r="D15" s="999"/>
      <c r="E15" s="999"/>
      <c r="F15" s="999"/>
      <c r="G15" s="999"/>
      <c r="H15" s="999"/>
      <c r="I15" s="999"/>
      <c r="J15" s="1000"/>
      <c r="K15" s="492">
        <f>P15/1024</f>
        <v>4</v>
      </c>
      <c r="L15" s="23" t="s">
        <v>5</v>
      </c>
      <c r="O15" s="266" t="str">
        <f>IF(Q4&lt;=5000,"","WARNING: Number of concurrent users specified on Clinical Info tab exceeds application capacity! Please contact GE Support Services.")</f>
        <v/>
      </c>
      <c r="P15" s="174">
        <v>4096</v>
      </c>
      <c r="Q15" s="153" t="s">
        <v>1</v>
      </c>
      <c r="T15"/>
      <c r="U15" s="460"/>
      <c r="V15" s="460"/>
    </row>
    <row r="16" spans="1:28" ht="17.25" customHeight="1" thickTop="1" thickBot="1">
      <c r="A16" s="993" t="s">
        <v>1225</v>
      </c>
      <c r="B16" s="994"/>
      <c r="C16" s="994"/>
      <c r="D16" s="994"/>
      <c r="E16" s="994"/>
      <c r="F16" s="994"/>
      <c r="G16" s="994"/>
      <c r="H16" s="994"/>
      <c r="I16" s="994"/>
      <c r="J16" s="995"/>
      <c r="K16" s="492">
        <f>P16/1024</f>
        <v>9</v>
      </c>
      <c r="L16" s="23" t="s">
        <v>5</v>
      </c>
      <c r="O16" s="266"/>
      <c r="P16" s="174">
        <f>(IF(P4&lt;=25,8192,IF(P4&lt;=125,12288,IF(P4&lt;=250,8192*2,IF(P4&lt;=500,20480,IF(P4&lt;=1000,32768,IF(P4&lt;=1500,45056,(IF(P4&lt;=2000,57344,IF(P4&lt;=2500,69362,IF(P4&lt;=3000,81920,94208)))))))))))*'Clinical Info'!P4+P11</f>
        <v>9216</v>
      </c>
      <c r="Q16" s="74" t="s">
        <v>70</v>
      </c>
      <c r="T16" s="23" t="s">
        <v>142</v>
      </c>
      <c r="U16" s="482" t="s">
        <v>60</v>
      </c>
      <c r="V16" s="465" t="s">
        <v>493</v>
      </c>
      <c r="W16" s="294" t="s">
        <v>60</v>
      </c>
      <c r="Y16" t="s">
        <v>143</v>
      </c>
    </row>
    <row r="17" spans="1:55" ht="16.5" thickTop="1" thickBot="1">
      <c r="A17" s="1052" t="s">
        <v>519</v>
      </c>
      <c r="B17" s="1032"/>
      <c r="C17" s="1032"/>
      <c r="D17" s="1032"/>
      <c r="E17" s="1032"/>
      <c r="F17" s="1032"/>
      <c r="G17" s="1032"/>
      <c r="H17" s="1032"/>
      <c r="I17" s="1032"/>
      <c r="J17" s="1053"/>
      <c r="K17" s="493">
        <f>AB12</f>
        <v>12</v>
      </c>
      <c r="L17" s="188" t="s">
        <v>5</v>
      </c>
      <c r="O17" s="267"/>
      <c r="P17" s="174">
        <f>(P15+P16)-P11</f>
        <v>12288</v>
      </c>
      <c r="Q17" s="74" t="s">
        <v>70</v>
      </c>
      <c r="R17" s="179">
        <f>P17/1024</f>
        <v>12</v>
      </c>
      <c r="S17" s="23" t="s">
        <v>5</v>
      </c>
      <c r="T17"/>
      <c r="U17" s="465" t="s">
        <v>1067</v>
      </c>
      <c r="V17" s="460"/>
      <c r="W17" s="25" t="s">
        <v>1144</v>
      </c>
    </row>
    <row r="18" spans="1:55" ht="22.5" customHeight="1" thickTop="1" thickBot="1">
      <c r="A18" s="1043" t="s">
        <v>718</v>
      </c>
      <c r="B18" s="1044"/>
      <c r="C18" s="1044"/>
      <c r="D18" s="1044"/>
      <c r="E18" s="1044"/>
      <c r="F18" s="1044"/>
      <c r="G18" s="1044"/>
      <c r="H18" s="1045"/>
      <c r="I18" s="1045"/>
      <c r="J18" s="1046"/>
      <c r="K18" s="1067">
        <f>Z12</f>
        <v>4</v>
      </c>
      <c r="L18" s="1039" t="s">
        <v>719</v>
      </c>
      <c r="M18" s="1039"/>
      <c r="N18" s="1039"/>
      <c r="O18" s="1040"/>
      <c r="P18" s="175">
        <f>IF(Defaults!B5&gt;=0,IF(CEILING(P17,2048)&lt;Defaults!B5, Defaults!B5, CEILING(P17, 2048)),IF(CEILING(Defaults!B5+AB(P17),2048)&lt;Defaults!B5,Defaults!B5,CEILING(Defaults!B5+ABS(P17),2048)))</f>
        <v>12288</v>
      </c>
      <c r="Q18" s="74" t="s">
        <v>70</v>
      </c>
      <c r="T18"/>
      <c r="U18" s="465" t="s">
        <v>1121</v>
      </c>
      <c r="V18" s="460"/>
      <c r="W18" s="25" t="s">
        <v>1068</v>
      </c>
    </row>
    <row r="19" spans="1:55" ht="15" thickTop="1" thickBot="1">
      <c r="A19" s="1047"/>
      <c r="B19" s="1048"/>
      <c r="C19" s="1048"/>
      <c r="D19" s="1048"/>
      <c r="E19" s="1048"/>
      <c r="F19" s="1048"/>
      <c r="G19" s="1048"/>
      <c r="H19" s="1049"/>
      <c r="I19" s="1049"/>
      <c r="J19" s="1050"/>
      <c r="K19" s="1068"/>
      <c r="L19" s="1041"/>
      <c r="M19" s="1041"/>
      <c r="N19" s="1041"/>
      <c r="O19" s="1042"/>
      <c r="T19"/>
      <c r="U19" s="465" t="s">
        <v>1143</v>
      </c>
      <c r="V19" s="460"/>
      <c r="W19" s="25" t="s">
        <v>1069</v>
      </c>
    </row>
    <row r="20" spans="1:55" ht="15" thickTop="1" thickBot="1">
      <c r="A20" s="996" t="s">
        <v>1092</v>
      </c>
      <c r="B20" s="997"/>
      <c r="C20" s="1066"/>
      <c r="D20" s="997"/>
      <c r="E20" s="997"/>
      <c r="F20" s="997"/>
      <c r="G20" s="997"/>
      <c r="H20" s="997"/>
      <c r="I20" s="1066"/>
      <c r="J20" s="997"/>
      <c r="K20" s="997"/>
      <c r="L20" s="997"/>
      <c r="M20" s="1066"/>
      <c r="N20" s="1066"/>
      <c r="O20" s="998"/>
      <c r="P20" s="187">
        <f>ROUNDUP((K18/2)/IF(AND(Q5=1,Q4&gt;999),6,4),0)</f>
        <v>1</v>
      </c>
      <c r="Q20" s="178" t="s">
        <v>20</v>
      </c>
      <c r="R20" s="171"/>
      <c r="S20" s="177">
        <f>IF(P20=0,"",K18/2/P20)</f>
        <v>2</v>
      </c>
      <c r="T20" s="357" t="s">
        <v>460</v>
      </c>
      <c r="U20" s="483"/>
      <c r="V20" s="460"/>
      <c r="W20" s="5" t="s">
        <v>1197</v>
      </c>
    </row>
    <row r="21" spans="1:55" ht="14.65" thickBot="1">
      <c r="A21" s="161"/>
      <c r="B21" s="162"/>
      <c r="C21" s="198" t="s">
        <v>524</v>
      </c>
      <c r="D21" s="172"/>
      <c r="E21" s="163"/>
      <c r="F21" s="163"/>
      <c r="G21" s="163"/>
      <c r="H21" s="163"/>
      <c r="I21" s="198" t="s">
        <v>475</v>
      </c>
      <c r="J21" s="163"/>
      <c r="K21" s="494"/>
      <c r="L21" s="163"/>
      <c r="M21" s="1037" t="s">
        <v>1094</v>
      </c>
      <c r="N21" s="1038"/>
      <c r="O21" s="1078" t="s">
        <v>717</v>
      </c>
      <c r="T21"/>
      <c r="U21" s="460"/>
      <c r="V21" s="460"/>
      <c r="W21"/>
      <c r="BC21" s="5"/>
    </row>
    <row r="22" spans="1:55" ht="17.25" customHeight="1">
      <c r="A22" s="1025"/>
      <c r="B22" s="1026"/>
      <c r="C22" s="182" t="s">
        <v>667</v>
      </c>
      <c r="D22" s="58" t="s">
        <v>55</v>
      </c>
      <c r="E22" s="1027" t="s">
        <v>3</v>
      </c>
      <c r="F22" s="1028"/>
      <c r="G22" s="1029" t="s">
        <v>530</v>
      </c>
      <c r="H22" s="1030"/>
      <c r="I22" s="200" t="s">
        <v>658</v>
      </c>
      <c r="J22" s="1063" t="s">
        <v>663</v>
      </c>
      <c r="K22" s="1063"/>
      <c r="L22" s="305" t="s">
        <v>453</v>
      </c>
      <c r="M22" s="980" t="s">
        <v>664</v>
      </c>
      <c r="N22" s="1065"/>
      <c r="O22" s="1079"/>
      <c r="T22"/>
      <c r="U22" s="460"/>
      <c r="V22" s="460"/>
      <c r="W22"/>
      <c r="X22" t="s">
        <v>379</v>
      </c>
      <c r="Y22" t="s">
        <v>380</v>
      </c>
      <c r="Z22" s="30" t="s">
        <v>381</v>
      </c>
      <c r="AA22" s="460" t="s">
        <v>379</v>
      </c>
      <c r="AB22" t="s">
        <v>382</v>
      </c>
      <c r="AC22" t="s">
        <v>6</v>
      </c>
      <c r="AD22" t="s">
        <v>379</v>
      </c>
      <c r="BC22" s="5"/>
    </row>
    <row r="23" spans="1:55" ht="14.65" thickBot="1">
      <c r="A23" s="1072"/>
      <c r="B23" s="1073"/>
      <c r="C23" s="183" t="s">
        <v>532</v>
      </c>
      <c r="D23" s="59" t="s">
        <v>56</v>
      </c>
      <c r="E23" s="313" t="s">
        <v>6</v>
      </c>
      <c r="F23" s="314" t="s">
        <v>6</v>
      </c>
      <c r="G23" s="1074" t="s">
        <v>527</v>
      </c>
      <c r="H23" s="1075"/>
      <c r="I23" s="200" t="s">
        <v>525</v>
      </c>
      <c r="J23" s="1064" t="s">
        <v>424</v>
      </c>
      <c r="K23" s="1064"/>
      <c r="L23" s="154" t="s">
        <v>913</v>
      </c>
      <c r="M23" s="990" t="s">
        <v>665</v>
      </c>
      <c r="N23" s="991"/>
      <c r="O23" s="1079"/>
      <c r="X23">
        <v>1</v>
      </c>
      <c r="Y23" s="72" t="s">
        <v>60</v>
      </c>
      <c r="Z23" t="s">
        <v>60</v>
      </c>
      <c r="AA23" s="460">
        <v>1</v>
      </c>
      <c r="AB23" s="72" t="s">
        <v>60</v>
      </c>
      <c r="AC23" t="s">
        <v>60</v>
      </c>
      <c r="AD23">
        <v>1</v>
      </c>
      <c r="BC23" s="5"/>
    </row>
    <row r="24" spans="1:55" ht="14.65" thickBot="1">
      <c r="A24" s="1051" t="s">
        <v>7</v>
      </c>
      <c r="B24" s="1032"/>
      <c r="C24" s="184" t="s">
        <v>8</v>
      </c>
      <c r="D24" s="60" t="s">
        <v>434</v>
      </c>
      <c r="E24" s="315" t="s">
        <v>9</v>
      </c>
      <c r="F24" s="316" t="s">
        <v>10</v>
      </c>
      <c r="G24" s="315" t="s">
        <v>522</v>
      </c>
      <c r="H24" s="317" t="s">
        <v>659</v>
      </c>
      <c r="I24" s="136" t="s">
        <v>537</v>
      </c>
      <c r="J24" s="190" t="s">
        <v>662</v>
      </c>
      <c r="K24" s="495" t="s">
        <v>146</v>
      </c>
      <c r="L24" s="136" t="s">
        <v>454</v>
      </c>
      <c r="M24" s="1033" t="s">
        <v>886</v>
      </c>
      <c r="N24" s="1034"/>
      <c r="O24" s="1079"/>
      <c r="P24" s="307" t="s">
        <v>490</v>
      </c>
      <c r="Q24" s="307" t="s">
        <v>431</v>
      </c>
      <c r="R24" s="308" t="s">
        <v>490</v>
      </c>
      <c r="S24" s="309" t="s">
        <v>432</v>
      </c>
      <c r="T24"/>
      <c r="U24" s="460" t="s">
        <v>357</v>
      </c>
      <c r="V24" s="460" t="s">
        <v>358</v>
      </c>
      <c r="X24">
        <v>2</v>
      </c>
      <c r="Y24" s="72">
        <v>1</v>
      </c>
      <c r="Z24">
        <v>2</v>
      </c>
      <c r="AA24" s="460">
        <v>2</v>
      </c>
      <c r="AB24" s="72" t="s">
        <v>435</v>
      </c>
      <c r="AC24">
        <v>75</v>
      </c>
      <c r="AD24">
        <v>2</v>
      </c>
      <c r="BC24" s="5"/>
    </row>
    <row r="25" spans="1:55" ht="15" thickTop="1" thickBot="1">
      <c r="A25" s="1031" t="str">
        <f>IF(Q4&lt;126,"Datafiles/TempDB:","Datafiles:")</f>
        <v>Datafiles/TempDB:</v>
      </c>
      <c r="B25" s="1032"/>
      <c r="C25" s="106" t="s">
        <v>520</v>
      </c>
      <c r="D25" s="104">
        <f>IF(Q4&lt;126,C52/1024+C51/1024,C51/1024)</f>
        <v>6.171875</v>
      </c>
      <c r="E25" s="159">
        <f>IF(Q4&lt;126,$Q$4*SUM(U31:U33,U35:U40,U43,Q6*U34)*V27/(8*60*60),$Q$4*SUM(U31:U33,U35:U36,U38:U40,Q6*U34)*V27/(8*60*60))</f>
        <v>0</v>
      </c>
      <c r="F25" s="159">
        <f>IF(Q4&lt;126,$Q$4*SUM(V31:V33,V35:V40,V43,Q6*V34)*V28/(8*60*60),$Q$4*SUM(V31:V33,V35:V36,V38:V40,Q6*V34)*V28/(8*60*60))</f>
        <v>0</v>
      </c>
      <c r="G25" s="72" t="s">
        <v>523</v>
      </c>
      <c r="H25" s="185">
        <v>65535</v>
      </c>
      <c r="I25" s="203">
        <f>8*(E25+F25)*H25/1024/1024/1024</f>
        <v>0</v>
      </c>
      <c r="J25" s="103" t="s">
        <v>60</v>
      </c>
      <c r="K25" s="496" t="s">
        <v>60</v>
      </c>
      <c r="L25" s="105"/>
      <c r="M25" s="1035" t="str">
        <f>IF(OR(S25="Select One:",Q25="Select One:"),"",Y53)</f>
        <v/>
      </c>
      <c r="N25" s="1036"/>
      <c r="O25" s="164"/>
      <c r="P25" s="28">
        <f>VLOOKUP(Q25,AB$23:AD$29,3,FALSE)</f>
        <v>1</v>
      </c>
      <c r="Q25" s="28" t="str">
        <f>J25</f>
        <v>Select One:</v>
      </c>
      <c r="R25" s="28">
        <f>VLOOKUP(S25,Y$23:AA$27,3)</f>
        <v>1</v>
      </c>
      <c r="S25" s="310" t="str">
        <f>K25</f>
        <v>Select One:</v>
      </c>
      <c r="T25"/>
      <c r="U25" s="460" t="s">
        <v>359</v>
      </c>
      <c r="V25" s="460" t="s">
        <v>360</v>
      </c>
      <c r="X25" s="21">
        <v>3</v>
      </c>
      <c r="Y25" s="72">
        <v>5</v>
      </c>
      <c r="Z25">
        <v>4</v>
      </c>
      <c r="AA25" s="22">
        <v>3</v>
      </c>
      <c r="AB25" s="72" t="s">
        <v>436</v>
      </c>
      <c r="AC25" s="30">
        <v>125</v>
      </c>
      <c r="AD25" s="21">
        <v>3</v>
      </c>
      <c r="BC25" s="5"/>
    </row>
    <row r="26" spans="1:55" ht="15" thickTop="1" thickBot="1">
      <c r="A26" s="1031" t="s">
        <v>11</v>
      </c>
      <c r="B26" s="1032"/>
      <c r="C26" s="106" t="s">
        <v>521</v>
      </c>
      <c r="D26" s="104">
        <f>C53/1024</f>
        <v>7</v>
      </c>
      <c r="E26" s="159">
        <f>$Q$4*SUM(U41,U44)*V26/(8*60*60)</f>
        <v>0</v>
      </c>
      <c r="F26" s="159">
        <f>$Q$4*SUM(V41,V44)*V28/(8*60*60)</f>
        <v>0</v>
      </c>
      <c r="G26" s="72" t="s">
        <v>526</v>
      </c>
      <c r="H26" s="185">
        <v>65535</v>
      </c>
      <c r="I26" s="203">
        <f>8*(E26+F26)*H26/1024/1024/1024</f>
        <v>0</v>
      </c>
      <c r="J26" s="103" t="s">
        <v>60</v>
      </c>
      <c r="K26" s="496" t="s">
        <v>60</v>
      </c>
      <c r="L26" s="103"/>
      <c r="M26" s="1035" t="str">
        <f>IF(OR(S26="Select One:",Q26="Select One:"),"",Y54)</f>
        <v/>
      </c>
      <c r="N26" s="1036"/>
      <c r="O26" s="164"/>
      <c r="P26" s="28">
        <f>VLOOKUP(Q26,AB$23:AD$29,3,FALSE)</f>
        <v>1</v>
      </c>
      <c r="Q26" s="28" t="str">
        <f>J26</f>
        <v>Select One:</v>
      </c>
      <c r="R26" s="28">
        <f>VLOOKUP(S26,Y$23:AA$27,3)</f>
        <v>1</v>
      </c>
      <c r="S26" s="310" t="str">
        <f>K26</f>
        <v>Select One:</v>
      </c>
      <c r="T26" s="29" t="s">
        <v>361</v>
      </c>
      <c r="U26" s="460">
        <v>6332782</v>
      </c>
      <c r="V26" s="460">
        <v>72000</v>
      </c>
      <c r="X26" s="21">
        <v>4</v>
      </c>
      <c r="Y26" s="72">
        <v>6</v>
      </c>
      <c r="Z26">
        <v>6</v>
      </c>
      <c r="AA26" s="22">
        <v>4</v>
      </c>
      <c r="AB26" s="72" t="s">
        <v>437</v>
      </c>
      <c r="AC26" s="21">
        <v>140</v>
      </c>
      <c r="AD26" s="21">
        <v>4</v>
      </c>
      <c r="BC26" s="5"/>
    </row>
    <row r="27" spans="1:55" ht="15" thickTop="1" thickBot="1">
      <c r="A27" s="1031" t="str">
        <f>IF(Q4&lt;126,"","TempDB:")</f>
        <v/>
      </c>
      <c r="B27" s="1032"/>
      <c r="C27" s="106" t="str">
        <f>IF(Q4&lt;126,"","1,10,5")</f>
        <v/>
      </c>
      <c r="D27" s="107" t="str">
        <f>IF(Q4&lt;126,"",C52/1024)</f>
        <v/>
      </c>
      <c r="E27" s="159" t="str">
        <f>IF(Q4&lt;126,"",$Q$4*SUM(U37,U43)*V27/(8*60*60))</f>
        <v/>
      </c>
      <c r="F27" s="159" t="str">
        <f>IF(Q4&lt;126,"",$Q$4*SUM(V37,V43)*V28/(8*60*60))</f>
        <v/>
      </c>
      <c r="G27" s="72" t="s">
        <v>523</v>
      </c>
      <c r="H27" s="185">
        <v>65535</v>
      </c>
      <c r="I27" s="203" t="str">
        <f>IF(Q4&lt;126,"",8*(E27+F27)*H27/1024/1024/1024)</f>
        <v/>
      </c>
      <c r="J27" s="103" t="s">
        <v>60</v>
      </c>
      <c r="K27" s="496" t="s">
        <v>60</v>
      </c>
      <c r="L27" s="103"/>
      <c r="M27" s="1035" t="str">
        <f>IF(OR(S27="Select One:",Q27="Select One:"),"",Y55)</f>
        <v/>
      </c>
      <c r="N27" s="1036"/>
      <c r="O27" s="164"/>
      <c r="P27" s="311">
        <f>VLOOKUP(Q27,AB$23:AD$29,3,FALSE)</f>
        <v>1</v>
      </c>
      <c r="Q27" s="311" t="str">
        <f>J27</f>
        <v>Select One:</v>
      </c>
      <c r="R27" s="311">
        <f>VLOOKUP(S27,Y$23:AA$27,3)</f>
        <v>1</v>
      </c>
      <c r="S27" s="312" t="str">
        <f>K27</f>
        <v>Select One:</v>
      </c>
      <c r="T27" s="29" t="s">
        <v>362</v>
      </c>
      <c r="U27" s="460">
        <v>6895166</v>
      </c>
      <c r="V27" s="460">
        <v>36000</v>
      </c>
      <c r="X27" s="195">
        <v>5</v>
      </c>
      <c r="Y27" s="196">
        <v>10</v>
      </c>
      <c r="Z27" s="197">
        <v>2</v>
      </c>
      <c r="AA27" s="22">
        <v>5</v>
      </c>
      <c r="AB27" s="72" t="s">
        <v>438</v>
      </c>
      <c r="AC27" s="21">
        <v>180</v>
      </c>
      <c r="AD27" s="21">
        <v>5</v>
      </c>
      <c r="BC27" s="5"/>
    </row>
    <row r="28" spans="1:55" ht="15" thickTop="1" thickBot="1">
      <c r="A28" s="318" t="s">
        <v>466</v>
      </c>
      <c r="B28" s="304"/>
      <c r="C28" s="108">
        <v>5</v>
      </c>
      <c r="D28" s="107">
        <f>(C51+C53)/1024</f>
        <v>8.171875</v>
      </c>
      <c r="E28" s="160"/>
      <c r="F28" s="160"/>
      <c r="H28" s="202" t="s">
        <v>563</v>
      </c>
      <c r="I28" s="103" t="s">
        <v>60</v>
      </c>
      <c r="J28" s="233" t="s">
        <v>660</v>
      </c>
      <c r="K28" s="497" t="s">
        <v>661</v>
      </c>
      <c r="L28" s="208" t="str">
        <f>IF(L25&gt;0,SUM(L25:L27),"")</f>
        <v/>
      </c>
      <c r="M28" s="1054" t="str">
        <f>IF(AND(M25&lt;&gt;"",M26&lt;&gt;""),SUM(M25:M27),"")</f>
        <v/>
      </c>
      <c r="N28" s="1055"/>
      <c r="O28" s="164"/>
      <c r="P28" s="28"/>
      <c r="Q28" s="28"/>
      <c r="T28" s="29" t="s">
        <v>363</v>
      </c>
      <c r="U28" s="460">
        <v>7686426</v>
      </c>
      <c r="V28" s="460">
        <v>36000</v>
      </c>
      <c r="Y28" s="5" t="s">
        <v>380</v>
      </c>
      <c r="Z28" t="s">
        <v>531</v>
      </c>
      <c r="AA28" s="22">
        <v>6</v>
      </c>
      <c r="AB28" s="72" t="s">
        <v>439</v>
      </c>
      <c r="AC28" s="21">
        <v>185</v>
      </c>
      <c r="AD28" s="21">
        <v>6</v>
      </c>
      <c r="BC28" s="5"/>
    </row>
    <row r="29" spans="1:55" ht="15" thickTop="1" thickBot="1">
      <c r="A29" s="94"/>
      <c r="B29" s="12"/>
      <c r="C29" s="5"/>
      <c r="D29" s="186" t="s">
        <v>1093</v>
      </c>
      <c r="E29" s="159">
        <f>SUM(E25:E27)</f>
        <v>0</v>
      </c>
      <c r="F29" s="159">
        <f>SUM(F25:F27)</f>
        <v>0</v>
      </c>
      <c r="G29" s="62"/>
      <c r="H29" s="202" t="s">
        <v>564</v>
      </c>
      <c r="I29" s="103" t="s">
        <v>60</v>
      </c>
      <c r="J29" s="203">
        <f>SUM(I25:I27)</f>
        <v>0</v>
      </c>
      <c r="K29" s="498"/>
      <c r="L29" s="159" t="str">
        <f>IF(I29="Select One:","",VLOOKUP(I29,AC37:AD50,2,FALSE))</f>
        <v/>
      </c>
      <c r="M29" s="207" t="str">
        <f>IF(OR(I29="SATA r1",I29="SATA r2",I29="SATA r3"),"WARNING: SATA controllers are not recommended for the database storage interface.",IF(J29&gt;L29,"Warning: Selected interface controller throughput below required minimum","&lt;:Interface controller throughput"))</f>
        <v>&lt;:Interface controller throughput</v>
      </c>
      <c r="O29" s="95"/>
      <c r="Q29" s="5" t="e">
        <f>MOD(((E25+F25)/VLOOKUP(Q25,AB$24:AC$29,2)),8)*VLOOKUP(S25,Y$29:Z$32,2)</f>
        <v>#N/A</v>
      </c>
      <c r="T29" s="31"/>
      <c r="U29" s="484" t="s">
        <v>6</v>
      </c>
      <c r="V29" s="484" t="s">
        <v>6</v>
      </c>
      <c r="X29" s="21">
        <v>1</v>
      </c>
      <c r="Y29" s="72">
        <v>1</v>
      </c>
      <c r="Z29" s="21">
        <v>0</v>
      </c>
      <c r="AA29" s="479">
        <v>7</v>
      </c>
      <c r="AB29" s="72" t="s">
        <v>391</v>
      </c>
      <c r="AC29" s="21">
        <v>1800</v>
      </c>
      <c r="AD29" s="5">
        <v>7</v>
      </c>
    </row>
    <row r="30" spans="1:55" ht="14.65" thickTop="1">
      <c r="A30" s="259"/>
      <c r="B30" s="12"/>
      <c r="C30" s="5"/>
      <c r="D30" s="186"/>
      <c r="E30" s="260"/>
      <c r="F30" s="260"/>
      <c r="G30" s="62"/>
      <c r="H30" s="202" t="s">
        <v>715</v>
      </c>
      <c r="I30" s="982" t="s">
        <v>60</v>
      </c>
      <c r="J30" s="983"/>
      <c r="K30" s="498"/>
      <c r="L30" s="261"/>
      <c r="M30" s="207"/>
      <c r="O30" s="95"/>
      <c r="Q30" s="5" t="e">
        <f>MOD(((E26+F26)/VLOOKUP(Q26,AB$24:AC$29,2)),8)*VLOOKUP(S26,Y$29:Z$32,2)</f>
        <v>#N/A</v>
      </c>
      <c r="T30" s="32" t="s">
        <v>364</v>
      </c>
      <c r="U30" s="484" t="s">
        <v>9</v>
      </c>
      <c r="V30" s="484" t="s">
        <v>10</v>
      </c>
      <c r="X30" s="5">
        <v>2</v>
      </c>
      <c r="Y30" s="72">
        <v>5</v>
      </c>
      <c r="Z30" s="5">
        <v>1</v>
      </c>
    </row>
    <row r="31" spans="1:55" ht="32.25" customHeight="1" thickBot="1">
      <c r="A31" s="165" t="s">
        <v>12</v>
      </c>
      <c r="B31" s="984" t="s">
        <v>1095</v>
      </c>
      <c r="C31" s="924"/>
      <c r="D31" s="924"/>
      <c r="E31" s="924"/>
      <c r="F31" s="924"/>
      <c r="G31" s="924"/>
      <c r="H31" s="924"/>
      <c r="I31" s="924"/>
      <c r="J31" s="924"/>
      <c r="K31" s="924"/>
      <c r="L31" s="924"/>
      <c r="M31" s="924"/>
      <c r="N31" s="985"/>
      <c r="O31" s="986"/>
      <c r="Q31" s="5" t="e">
        <f>MOD(((E27+F27)/VLOOKUP(Q27,AB$24:AC$29,2)),8)*VLOOKUP(S27,Y$29:Z$32,2)</f>
        <v>#VALUE!</v>
      </c>
      <c r="T31" s="29" t="s">
        <v>365</v>
      </c>
      <c r="U31" s="485">
        <v>7.2729859959721518E-2</v>
      </c>
      <c r="V31" s="485">
        <v>4.901750792215212E-2</v>
      </c>
      <c r="X31" s="5">
        <v>3</v>
      </c>
      <c r="Y31" s="72">
        <v>6</v>
      </c>
      <c r="Z31" s="5">
        <v>2</v>
      </c>
    </row>
    <row r="32" spans="1:55" ht="19.5" customHeight="1" thickBot="1">
      <c r="A32" s="319" t="s">
        <v>13</v>
      </c>
      <c r="B32" s="1023" t="s">
        <v>914</v>
      </c>
      <c r="C32" s="1010"/>
      <c r="D32" s="1010"/>
      <c r="E32" s="1010"/>
      <c r="F32" s="1010"/>
      <c r="G32" s="1010"/>
      <c r="H32" s="1010"/>
      <c r="I32" s="1010"/>
      <c r="J32" s="1010"/>
      <c r="K32" s="1010"/>
      <c r="L32" s="1010"/>
      <c r="M32" s="1010"/>
      <c r="N32" s="935"/>
      <c r="O32" s="1024"/>
      <c r="P32" s="1076" t="s">
        <v>4</v>
      </c>
      <c r="Q32" s="1077"/>
      <c r="T32" s="29" t="s">
        <v>366</v>
      </c>
      <c r="U32" s="485">
        <v>5.0000000000000001E-3</v>
      </c>
      <c r="V32" s="485">
        <v>5.0000000000000001E-3</v>
      </c>
      <c r="X32" s="5">
        <v>4</v>
      </c>
      <c r="Y32" s="196">
        <v>10</v>
      </c>
      <c r="Z32" s="5">
        <v>0</v>
      </c>
      <c r="AB32" s="5" t="s">
        <v>541</v>
      </c>
      <c r="AC32" s="5" t="s">
        <v>60</v>
      </c>
    </row>
    <row r="33" spans="1:30" ht="15" customHeight="1" thickTop="1" thickBot="1">
      <c r="A33" s="319" t="s">
        <v>14</v>
      </c>
      <c r="B33" s="976" t="s">
        <v>92</v>
      </c>
      <c r="C33" s="977"/>
      <c r="D33" s="977"/>
      <c r="E33" s="977"/>
      <c r="F33" s="977"/>
      <c r="G33" s="977"/>
      <c r="H33" s="977"/>
      <c r="I33" s="977"/>
      <c r="J33" s="977"/>
      <c r="K33" s="977"/>
      <c r="L33" s="977"/>
      <c r="M33" s="977"/>
      <c r="N33" s="977"/>
      <c r="O33" s="978"/>
      <c r="P33" s="191" t="s">
        <v>6</v>
      </c>
      <c r="Q33" s="71" t="s">
        <v>6</v>
      </c>
      <c r="T33" s="29" t="s">
        <v>367</v>
      </c>
      <c r="U33" s="485">
        <v>0.70410049433323141</v>
      </c>
      <c r="V33" s="485">
        <v>0.44220935810033529</v>
      </c>
      <c r="AC33" s="5" t="s">
        <v>542</v>
      </c>
    </row>
    <row r="34" spans="1:30" ht="15" customHeight="1" thickBot="1">
      <c r="A34" s="320" t="s">
        <v>15</v>
      </c>
      <c r="B34" s="976" t="s">
        <v>455</v>
      </c>
      <c r="C34" s="977"/>
      <c r="D34" s="977"/>
      <c r="E34" s="977"/>
      <c r="F34" s="977"/>
      <c r="G34" s="977"/>
      <c r="H34" s="977"/>
      <c r="I34" s="977"/>
      <c r="J34" s="977"/>
      <c r="K34" s="977"/>
      <c r="L34" s="977"/>
      <c r="M34" s="977"/>
      <c r="N34" s="977"/>
      <c r="O34" s="978"/>
      <c r="P34" s="190" t="s">
        <v>9</v>
      </c>
      <c r="Q34" s="61" t="s">
        <v>10</v>
      </c>
      <c r="T34" s="29" t="s">
        <v>368</v>
      </c>
      <c r="U34" s="485">
        <v>2.0968536251709986E-2</v>
      </c>
      <c r="V34" s="485">
        <v>5.3364292396097822E-2</v>
      </c>
      <c r="Y34" s="1037" t="s">
        <v>528</v>
      </c>
      <c r="Z34" s="1062"/>
      <c r="AC34" s="5" t="s">
        <v>543</v>
      </c>
    </row>
    <row r="35" spans="1:30" ht="15" customHeight="1" thickTop="1" thickBot="1">
      <c r="A35" s="320" t="s">
        <v>17</v>
      </c>
      <c r="B35" s="976" t="s">
        <v>16</v>
      </c>
      <c r="C35" s="977"/>
      <c r="D35" s="977"/>
      <c r="E35" s="977"/>
      <c r="F35" s="977"/>
      <c r="G35" s="977"/>
      <c r="H35" s="977"/>
      <c r="I35" s="977"/>
      <c r="J35" s="977"/>
      <c r="K35" s="977"/>
      <c r="L35" s="977"/>
      <c r="M35" s="977"/>
      <c r="N35" s="977"/>
      <c r="O35" s="978"/>
      <c r="P35" s="192">
        <f>IF(ISBLANK('Clinical Info'!$H$14),"",$Q$7*(E25+SUM(U31:U36,U38:U40)*U27/(60*'Clinical Info'!$H$14)))</f>
        <v>259.66606954154491</v>
      </c>
      <c r="Q35" s="139">
        <f>IF(ISBLANK('Clinical Info'!$H$14),"",$Q$7*(F25+SUM(V31:V36,V38:V40)*U28/(60*'Clinical Info'!$H$14)))</f>
        <v>197.22784549516206</v>
      </c>
      <c r="T35" s="29" t="s">
        <v>369</v>
      </c>
      <c r="U35" s="485">
        <v>1.1496056958747915E-2</v>
      </c>
      <c r="V35" s="485">
        <v>1.3859685491752302E-2</v>
      </c>
      <c r="Y35" s="980" t="s">
        <v>425</v>
      </c>
      <c r="Z35" s="981"/>
      <c r="AC35" s="5" t="s">
        <v>544</v>
      </c>
    </row>
    <row r="36" spans="1:30" ht="14.25" customHeight="1" thickTop="1" thickBot="1">
      <c r="A36" s="320" t="s">
        <v>18</v>
      </c>
      <c r="B36" s="976" t="s">
        <v>93</v>
      </c>
      <c r="C36" s="977"/>
      <c r="D36" s="977"/>
      <c r="E36" s="977"/>
      <c r="F36" s="977"/>
      <c r="G36" s="977"/>
      <c r="H36" s="977"/>
      <c r="I36" s="977"/>
      <c r="J36" s="977"/>
      <c r="K36" s="977"/>
      <c r="L36" s="977"/>
      <c r="M36" s="977"/>
      <c r="N36" s="977"/>
      <c r="O36" s="978"/>
      <c r="P36" s="192">
        <f>IF(ISBLANK('Clinical Info'!$H$14),"",$Q$7*(E26+SUM(U41:U42,U44)*U26/(60*'Clinical Info'!$H$14)))</f>
        <v>28.585474305555561</v>
      </c>
      <c r="Q36" s="139">
        <f>IF(ISBLANK('Clinical Info'!$H$14),"",$Q$7*(F26+SUM(V41:V42,V44)*U26/(60*'Clinical Info'!$H$14)))</f>
        <v>600.29496041666675</v>
      </c>
      <c r="T36" s="29" t="s">
        <v>370</v>
      </c>
      <c r="U36" s="485">
        <v>5.0000000000000001E-3</v>
      </c>
      <c r="V36" s="485">
        <v>5.0000000000000001E-3</v>
      </c>
      <c r="Y36" s="990" t="s">
        <v>426</v>
      </c>
      <c r="Z36" s="991"/>
    </row>
    <row r="37" spans="1:30" s="5" customFormat="1" ht="15.75" customHeight="1" thickTop="1" thickBot="1">
      <c r="A37" s="320" t="s">
        <v>19</v>
      </c>
      <c r="B37" s="976" t="s">
        <v>915</v>
      </c>
      <c r="C37" s="977"/>
      <c r="D37" s="977"/>
      <c r="E37" s="977"/>
      <c r="F37" s="977"/>
      <c r="G37" s="977"/>
      <c r="H37" s="977"/>
      <c r="I37" s="977"/>
      <c r="J37" s="977"/>
      <c r="K37" s="977"/>
      <c r="L37" s="977"/>
      <c r="M37" s="977"/>
      <c r="N37" s="977"/>
      <c r="O37" s="978"/>
      <c r="P37" s="192" t="str">
        <f>IF(Q4&lt;126,"",$Q$7*(E27+SUM(U37,U43)*U27/(60*'Clinical Info'!$H$14)))</f>
        <v/>
      </c>
      <c r="Q37" s="139" t="str">
        <f>IF(Q4&lt;126,"",$Q$7*(F27+SUM(V37,V43)*U28/(60*'Clinical Info'!$H$14)))</f>
        <v/>
      </c>
      <c r="T37" s="29" t="s">
        <v>916</v>
      </c>
      <c r="U37" s="485">
        <v>0.20227576597399624</v>
      </c>
      <c r="V37" s="485">
        <v>6.08683395722786E-2</v>
      </c>
      <c r="X37" s="206" t="s">
        <v>666</v>
      </c>
      <c r="Y37" s="75" t="s">
        <v>427</v>
      </c>
      <c r="Z37" s="57" t="s">
        <v>428</v>
      </c>
      <c r="AA37" s="510" t="s">
        <v>532</v>
      </c>
      <c r="AB37" s="5" t="s">
        <v>545</v>
      </c>
      <c r="AC37" s="5" t="s">
        <v>60</v>
      </c>
      <c r="AD37" s="5" t="s">
        <v>553</v>
      </c>
    </row>
    <row r="38" spans="1:30" s="5" customFormat="1" ht="15.75" customHeight="1" thickTop="1" thickBot="1">
      <c r="A38" s="320" t="s">
        <v>486</v>
      </c>
      <c r="B38" s="976" t="s">
        <v>487</v>
      </c>
      <c r="C38" s="977"/>
      <c r="D38" s="977"/>
      <c r="E38" s="977"/>
      <c r="F38" s="977"/>
      <c r="G38" s="977"/>
      <c r="H38" s="977"/>
      <c r="I38" s="977"/>
      <c r="J38" s="977"/>
      <c r="K38" s="977"/>
      <c r="L38" s="977"/>
      <c r="M38" s="977"/>
      <c r="N38" s="977"/>
      <c r="O38" s="978"/>
      <c r="P38" s="193"/>
      <c r="Q38" s="155"/>
      <c r="T38" s="33" t="s">
        <v>371</v>
      </c>
      <c r="U38" s="485">
        <v>5.0000000000000001E-3</v>
      </c>
      <c r="V38" s="485">
        <v>0</v>
      </c>
      <c r="X38" s="205" t="str">
        <f>IF(S25="Select One:","",MAX((ROUNDUP(((E25+F25)/VLOOKUP(Q25,AB$24:AC$29,2))+MOD(((E25+F25)/VLOOKUP(Q25,AB$24:AC$29,2)),8)+MOD(((E25+F25)/VLOOKUP(Q25,AB$24:AC$29,2)),8)*VLOOKUP(S25,Y$29:Z$32,2)+1,0)),AA38))</f>
        <v/>
      </c>
      <c r="Y38" s="271" t="str">
        <f>IF(Q4&lt;126,IF(P25&gt;1,IF(R25&gt;1,Z50*VLOOKUP(Q25,C109:G115,R25,FALSE),""),""),IF(P25&gt;1,IF(R25&gt;1,Z50*VLOOKUP(Q25,C67:G73,R25,FALSE),""),""))</f>
        <v/>
      </c>
      <c r="Z38" s="270" t="str">
        <f>IF(OR(P25=1,R25=1),"",IF(Q4&lt;126,$Q$7*IF(P25&gt;1,IF(R25&gt;1,Z50*VLOOKUP(Q25,J109:N115,R25,FALSE),""),""),$Q$7*IF(P25&gt;1,IF(R25&gt;1,Z50*VLOOKUP(Q25,J67:N73,R25,FALSE),""),"")))</f>
        <v/>
      </c>
      <c r="AA38" s="511" t="str">
        <f>IF(ISBLANK($K$8),"",ROUNDUP(D25/$K$8,0))</f>
        <v/>
      </c>
      <c r="AC38" s="5" t="s">
        <v>554</v>
      </c>
      <c r="AD38" s="5">
        <v>1.2</v>
      </c>
    </row>
    <row r="39" spans="1:30" s="5" customFormat="1" ht="16.5" customHeight="1" thickTop="1" thickBot="1">
      <c r="A39" s="320" t="s">
        <v>488</v>
      </c>
      <c r="B39" s="976" t="s">
        <v>489</v>
      </c>
      <c r="C39" s="977"/>
      <c r="D39" s="977"/>
      <c r="E39" s="977"/>
      <c r="F39" s="977"/>
      <c r="G39" s="977"/>
      <c r="H39" s="977"/>
      <c r="I39" s="977"/>
      <c r="J39" s="977"/>
      <c r="K39" s="977"/>
      <c r="L39" s="977"/>
      <c r="M39" s="977"/>
      <c r="N39" s="977"/>
      <c r="O39" s="978"/>
      <c r="P39" s="192">
        <f>SUM(P34:P36)</f>
        <v>288.25154384710049</v>
      </c>
      <c r="Q39" s="140">
        <f>SUM(Q34:Q36)</f>
        <v>797.52280591182875</v>
      </c>
      <c r="T39" s="29" t="s">
        <v>372</v>
      </c>
      <c r="U39" s="485">
        <v>5.0000000000000001E-3</v>
      </c>
      <c r="V39" s="485">
        <v>0</v>
      </c>
      <c r="X39" s="204" t="str">
        <f>IF(S25="Select One:","",MAX((ROUNDUP(((E25+F25)/VLOOKUP(Q25,AB$24:AC$29,2))+MOD(((E25+F25)/VLOOKUP(Q25,AB$24:AC$29,2)),8)+MOD(((E25+F25)/VLOOKUP(Q25,AB$24:AC$29,2)),8)*VLOOKUP(S25,Y$29:Z$32,2)+1,0)),AA39))</f>
        <v/>
      </c>
      <c r="Y39" s="271" t="str">
        <f>IF(P25&gt;1,IF(R25&gt;1,Z49*VLOOKUP(Q25,C80:G86,R25,FALSE),""),"")</f>
        <v/>
      </c>
      <c r="Z39" s="270" t="str">
        <f>IF(OR(P25=1,R25=1),"",$Q$7*IF(P25&gt;1,IF(R25&gt;1,Z49*VLOOKUP(Q25,J80:N86,R25,FALSE),""),""))</f>
        <v/>
      </c>
      <c r="AA39" s="511" t="str">
        <f>IF(ISBLANK($K$8),"",ROUNDUP(D25/$K$8,0))</f>
        <v/>
      </c>
      <c r="AC39" s="5" t="s">
        <v>555</v>
      </c>
      <c r="AD39" s="5">
        <v>2.4</v>
      </c>
    </row>
    <row r="40" spans="1:30" s="5" customFormat="1" ht="16.5" customHeight="1" thickTop="1" thickBot="1">
      <c r="A40" s="320" t="s">
        <v>529</v>
      </c>
      <c r="B40" s="976" t="s">
        <v>863</v>
      </c>
      <c r="C40" s="977"/>
      <c r="D40" s="977"/>
      <c r="E40" s="977"/>
      <c r="F40" s="977"/>
      <c r="G40" s="977"/>
      <c r="H40" s="977"/>
      <c r="I40" s="977"/>
      <c r="J40" s="977"/>
      <c r="K40" s="977"/>
      <c r="L40" s="977"/>
      <c r="M40" s="977"/>
      <c r="N40" s="977"/>
      <c r="O40" s="978"/>
      <c r="P40" s="192">
        <f>SUM(P35:P37)</f>
        <v>288.25154384710049</v>
      </c>
      <c r="Q40" s="140">
        <f>SUM(Q35:Q37)</f>
        <v>797.52280591182875</v>
      </c>
      <c r="T40" s="29" t="s">
        <v>372</v>
      </c>
      <c r="U40" s="485">
        <v>5.0000000000000001E-3</v>
      </c>
      <c r="V40" s="485">
        <v>0</v>
      </c>
      <c r="X40" s="204" t="str">
        <f>IF(S26="Select One:","",MAX((ROUNDUP(((E26+F26)/VLOOKUP(Q26,AB$24:AC$29,2))+MOD(((E26+F26)/VLOOKUP(Q26,AB$24:AC$29,2)),8)+MOD(((E26+F26)/VLOOKUP(Q26,AB$24:AC$29,2)),8)*VLOOKUP(S26,Y$29:Z$32,2)+1,0)),AA40))</f>
        <v/>
      </c>
      <c r="Y40" s="271" t="str">
        <f>IF(P26&gt;1,IF(R26&gt;1,Z50*VLOOKUP(Q26,C81:G87,R26,FALSE),""),"")</f>
        <v/>
      </c>
      <c r="Z40" s="270" t="str">
        <f>IF(OR(P26=1,R26=1),"",$Q$7*IF(P26&gt;1,IF(R26&gt;1,Z50*VLOOKUP(Q26,J81:N87,R26,FALSE),""),""))</f>
        <v/>
      </c>
      <c r="AA40" s="511" t="str">
        <f>IF(ISBLANK($K$8),"",ROUNDUP(D26/$K$8,0))</f>
        <v/>
      </c>
      <c r="AC40" s="5" t="s">
        <v>555</v>
      </c>
      <c r="AD40" s="5">
        <v>2.4</v>
      </c>
    </row>
    <row r="41" spans="1:30" s="5" customFormat="1" ht="15" thickTop="1" thickBot="1">
      <c r="A41" s="189" t="s">
        <v>862</v>
      </c>
      <c r="B41" s="987" t="s">
        <v>917</v>
      </c>
      <c r="C41" s="988"/>
      <c r="D41" s="988"/>
      <c r="E41" s="988"/>
      <c r="F41" s="988"/>
      <c r="G41" s="988"/>
      <c r="H41" s="988"/>
      <c r="I41" s="988"/>
      <c r="J41" s="988"/>
      <c r="K41" s="988"/>
      <c r="L41" s="988"/>
      <c r="M41" s="988"/>
      <c r="N41" s="988"/>
      <c r="O41" s="989"/>
      <c r="P41" s="194"/>
      <c r="Q41" s="194"/>
      <c r="T41" s="29" t="s">
        <v>373</v>
      </c>
      <c r="U41" s="485">
        <v>0.05</v>
      </c>
      <c r="V41" s="485">
        <v>1</v>
      </c>
      <c r="X41" s="204" t="str">
        <f>IF(S27="Select One:","",MAX((ROUNDUP(((E27+F27)/VLOOKUP(Q27,AB$24:AC$29,2))+MOD(((E27+F27)/VLOOKUP(Q27,AB$24:AC$29,2)),8)+MOD(((E27+F27)/VLOOKUP(Q27,AB$24:AC$29,2)),8)*VLOOKUP(S27,Y$29:Z$32,2)+1,0)),AA41))</f>
        <v/>
      </c>
      <c r="Y41" s="271" t="str">
        <f>IF(Q4&lt;126,"",IF(P27&gt;1,IF(R27&gt;1,Z50*VLOOKUP(Q27,C95:G101,R27,FALSE),""),""))</f>
        <v/>
      </c>
      <c r="Z41" s="270" t="str">
        <f>IF(OR(P27=1,R27=1),"",IF(Q4&lt;126,"",$Q$7*IF(P27&gt;1,IF(R27&gt;1,Z50*VLOOKUP(Q27,J95:N101,R27,FALSE),""),"")))</f>
        <v/>
      </c>
      <c r="AA41" s="511" t="str">
        <f>IF(ISBLANK($K$8),"",ROUNDUP(D27/$K$8,0))</f>
        <v/>
      </c>
      <c r="AC41" s="5" t="s">
        <v>556</v>
      </c>
      <c r="AD41" s="5">
        <v>4.8</v>
      </c>
    </row>
    <row r="42" spans="1:30" s="5" customFormat="1" ht="16.5" hidden="1" customHeight="1" thickTop="1" thickBot="1">
      <c r="B42" s="979"/>
      <c r="C42" s="904"/>
      <c r="D42" s="904"/>
      <c r="E42" s="904"/>
      <c r="F42" s="904"/>
      <c r="G42" s="904"/>
      <c r="H42" s="904"/>
      <c r="I42" s="904"/>
      <c r="J42" s="904"/>
      <c r="K42" s="904"/>
      <c r="L42" s="904"/>
      <c r="M42" s="904"/>
      <c r="N42" s="904"/>
      <c r="O42" s="904"/>
      <c r="T42" s="29" t="s">
        <v>374</v>
      </c>
      <c r="U42" s="485">
        <v>0.05</v>
      </c>
      <c r="V42" s="485">
        <v>1</v>
      </c>
      <c r="X42" s="204" t="str">
        <f>IF(AND(X38&lt;&gt;"",X40&lt;&gt;""),SUM(X38:X41),"")</f>
        <v/>
      </c>
      <c r="Y42" s="141" t="str">
        <f>IF(AND(Y38&lt;&gt;"",Y40&lt;&gt;""),SUM(Y38:Y41),"")</f>
        <v/>
      </c>
      <c r="Z42" s="139" t="str">
        <f>IF(AND(Z38&lt;&gt;"",Z40&lt;&gt;""),SUM(Z38:Z41),"")</f>
        <v/>
      </c>
      <c r="AA42" s="511" t="str">
        <f>IF(AND(AA38&lt;&gt;"",AA40&lt;&gt;""),SUM(AA38:AA41),"")</f>
        <v/>
      </c>
      <c r="AC42" s="5" t="s">
        <v>546</v>
      </c>
      <c r="AD42" s="5">
        <v>3</v>
      </c>
    </row>
    <row r="43" spans="1:30" s="5" customFormat="1" ht="15" hidden="1" thickTop="1" thickBot="1">
      <c r="C43" s="5" t="s">
        <v>430</v>
      </c>
      <c r="I43" s="53"/>
      <c r="J43" s="28" t="str">
        <f>'Clinical Info'!A8</f>
        <v>Enter the total number of medical practitioners :</v>
      </c>
      <c r="K43" s="499"/>
      <c r="M43" s="12"/>
      <c r="N43" s="12"/>
      <c r="T43" s="29" t="s">
        <v>375</v>
      </c>
      <c r="U43" s="485">
        <v>3.4251326418635801E-3</v>
      </c>
      <c r="V43" s="485">
        <v>0.50782935073975632</v>
      </c>
      <c r="AA43" s="479"/>
      <c r="AC43" s="5" t="s">
        <v>547</v>
      </c>
      <c r="AD43" s="5">
        <v>6</v>
      </c>
    </row>
    <row r="44" spans="1:30" s="5" customFormat="1" ht="14.65" hidden="1" thickBot="1">
      <c r="C44" s="5">
        <f>1200+K12+K5*1024+K6*1024+(2*Q4)+(50*'Clinical Info'!H8*'Clinical Info'!H10)</f>
        <v>1200</v>
      </c>
      <c r="D44" s="5" t="s">
        <v>461</v>
      </c>
      <c r="H44" s="5" t="s">
        <v>399</v>
      </c>
      <c r="I44" s="54">
        <f>'Clinical Info'!H8</f>
        <v>0</v>
      </c>
      <c r="J44" s="28" t="str">
        <f>'Clinical Info'!I8</f>
        <v>Please include Physicians, Nurses, Practioners, PA's, etc.</v>
      </c>
      <c r="K44" s="499"/>
      <c r="M44" s="12"/>
      <c r="N44" s="12"/>
      <c r="T44" s="29" t="s">
        <v>376</v>
      </c>
      <c r="U44" s="485">
        <v>0</v>
      </c>
      <c r="V44" s="485">
        <v>0.1</v>
      </c>
      <c r="Y44" s="262" t="s">
        <v>709</v>
      </c>
      <c r="Z44" s="263" t="s">
        <v>710</v>
      </c>
      <c r="AA44" s="479" t="s">
        <v>379</v>
      </c>
      <c r="AC44" s="5" t="s">
        <v>1037</v>
      </c>
      <c r="AD44" s="5">
        <v>12</v>
      </c>
    </row>
    <row r="45" spans="1:30" s="5" customFormat="1" hidden="1">
      <c r="C45" s="5">
        <f>IF(ISBLANK('Clinical Info'!H17),0,(IF(ISBLANK('Clinical Info'!H19),0,(40*'Clinical Info'!H8*5*52*'Clinical Info'!H10*2*'Clinical Info'!H19*'Clinical Info'!H17))+IF(ISBLANK('Clinical Info'!#REF!),0,(40*'Clinical Info'!H8*5*52*'Clinical Info'!H10*0.05*'Clinical Info'!#REF!*'Clinical Info'!H17))))</f>
        <v>0</v>
      </c>
      <c r="D45" s="5" t="s">
        <v>415</v>
      </c>
      <c r="H45" s="5" t="s">
        <v>400</v>
      </c>
      <c r="I45" s="54">
        <f>'Clinical Info'!H10</f>
        <v>0</v>
      </c>
      <c r="J45" s="6" t="str">
        <f>'Clinical Info'!I10</f>
        <v>The hardware calculator will attempt to predict the size of your Database in "x" years (where x is the value entered in this field)</v>
      </c>
      <c r="K45" s="499"/>
      <c r="M45" s="12"/>
      <c r="N45" s="12"/>
      <c r="U45" s="479"/>
      <c r="V45" s="479"/>
      <c r="Y45" s="264" t="s">
        <v>60</v>
      </c>
      <c r="Z45" s="95">
        <v>1</v>
      </c>
      <c r="AA45" s="479">
        <v>1</v>
      </c>
      <c r="AC45" s="5" t="s">
        <v>1038</v>
      </c>
      <c r="AD45" s="5">
        <v>22</v>
      </c>
    </row>
    <row r="46" spans="1:30" s="5" customFormat="1" hidden="1">
      <c r="A46" s="5" t="s">
        <v>397</v>
      </c>
      <c r="C46" s="5">
        <f>IF('Clinical Info'!H13="Yes",1,0)*(30960+'Clinical Info'!H10*3096)</f>
        <v>0</v>
      </c>
      <c r="D46" s="5" t="s">
        <v>412</v>
      </c>
      <c r="H46" s="5" t="s">
        <v>401</v>
      </c>
      <c r="I46" s="54">
        <f>'Clinical Info'!H11</f>
        <v>0</v>
      </c>
      <c r="J46" s="6">
        <f>'Clinical Info'!I11</f>
        <v>0</v>
      </c>
      <c r="K46" s="499"/>
      <c r="M46" s="12"/>
      <c r="N46" s="12"/>
      <c r="U46" s="479"/>
      <c r="V46" s="479"/>
      <c r="Y46" s="264" t="s">
        <v>711</v>
      </c>
      <c r="Z46" s="95">
        <v>0.7</v>
      </c>
      <c r="AA46" s="479">
        <v>2</v>
      </c>
      <c r="AC46" s="5" t="s">
        <v>558</v>
      </c>
      <c r="AD46" s="5">
        <v>1</v>
      </c>
    </row>
    <row r="47" spans="1:30" s="5" customFormat="1" hidden="1">
      <c r="A47" s="5" t="s">
        <v>398</v>
      </c>
      <c r="B47" s="5">
        <f>IF(AND(ISBLANK('Clinical Info'!H8),AND(ISBLANK('Clinical Info'!H10),AND(ISBLANK('Clinical Info'!H11),ISBLANK('Clinical Info'!H20)))),0,1200+K12+(K5+K6)*1024+(2*Q4)+(50*'Clinical Info'!H8*'Clinical Info'!H10)+IF(ISBLANK('Clinical Info'!H17),0,(IF(ISBLANK('Clinical Info'!H19),0,(40*'Clinical Info'!H8*5*52*'Clinical Info'!H10*2*'Clinical Info'!H19*'Clinical Info'!H17))+IF(ISBLANK('Clinical Info'!#REF!),0,(40*'Clinical Info'!H8*5*52*'Clinical Info'!H10*0.05*'Clinical Info'!#REF!*'Clinical Info'!H17))))+(5*Q4)+IF('Clinical Info'!H13="Yes",1,0)*(30960+'Clinical Info'!H10*3096)+'Clinical Info'!O17*ROUNDUP((0.75*4*'Clinical Info'!H8),0)*('Clinical Info'!H10*52*5)+(5*ROUNDUP(('Clinical Info'!H11/10000),0))+(90*ROUNDUP(('Clinical Info'!H20/10000),0)))</f>
        <v>0</v>
      </c>
      <c r="C47" s="5">
        <f>'Clinical Info'!O17*ROUNDUP((0.75*4*'Clinical Info'!H8),0)*('Clinical Info'!H10*52*5)</f>
        <v>0</v>
      </c>
      <c r="D47" s="5" t="s">
        <v>413</v>
      </c>
      <c r="H47" s="5" t="s">
        <v>403</v>
      </c>
      <c r="I47" s="54" t="str">
        <f>'Clinical Info'!H13</f>
        <v>Select One:</v>
      </c>
      <c r="J47" s="28" t="str">
        <f>'Clinical Info'!A13</f>
        <v>Will ePrescribing be enabled?</v>
      </c>
      <c r="K47" s="499"/>
      <c r="M47" s="12"/>
      <c r="N47" s="12"/>
      <c r="U47" s="479"/>
      <c r="V47" s="479"/>
      <c r="Y47" s="264" t="s">
        <v>712</v>
      </c>
      <c r="Z47" s="95">
        <v>0.8</v>
      </c>
      <c r="AA47" s="479">
        <v>3</v>
      </c>
      <c r="AC47" s="5" t="s">
        <v>559</v>
      </c>
      <c r="AD47" s="5">
        <v>2</v>
      </c>
    </row>
    <row r="48" spans="1:30" s="5" customFormat="1" hidden="1">
      <c r="C48" s="5">
        <f>(90*ROUNDUP(('Clinical Info'!H20/10000),0))</f>
        <v>0</v>
      </c>
      <c r="D48" s="5" t="s">
        <v>416</v>
      </c>
      <c r="I48" s="53"/>
      <c r="K48" s="499"/>
      <c r="M48" s="12"/>
      <c r="N48" s="12"/>
      <c r="U48" s="479"/>
      <c r="V48" s="479"/>
      <c r="Y48" s="264" t="s">
        <v>713</v>
      </c>
      <c r="Z48" s="95">
        <v>0.85</v>
      </c>
      <c r="AA48" s="479">
        <v>4</v>
      </c>
      <c r="AC48" s="5" t="s">
        <v>560</v>
      </c>
      <c r="AD48" s="5">
        <v>3</v>
      </c>
    </row>
    <row r="49" spans="1:30" s="5" customFormat="1" ht="14.65" hidden="1" thickBot="1">
      <c r="C49" s="5">
        <f>(5*ROUNDUP(('Clinical Info'!H11/10000),0))</f>
        <v>0</v>
      </c>
      <c r="D49" s="5" t="s">
        <v>417</v>
      </c>
      <c r="H49" s="5" t="s">
        <v>404</v>
      </c>
      <c r="I49" s="55">
        <f>'Clinical Info'!H17</f>
        <v>0</v>
      </c>
      <c r="J49" s="28" t="str">
        <f>'Clinical Info'!A17</f>
        <v>Percent of patient visits that will generate a scanned document image attachment:</v>
      </c>
      <c r="K49" s="499"/>
      <c r="M49" s="12"/>
      <c r="N49" s="12"/>
      <c r="U49" s="479"/>
      <c r="V49" s="479"/>
      <c r="Y49" s="265" t="s">
        <v>714</v>
      </c>
      <c r="Z49" s="97">
        <v>1</v>
      </c>
      <c r="AA49" s="479">
        <v>5</v>
      </c>
      <c r="AC49" s="5" t="s">
        <v>561</v>
      </c>
      <c r="AD49" s="5">
        <v>4</v>
      </c>
    </row>
    <row r="50" spans="1:30" s="5" customFormat="1" hidden="1">
      <c r="C50" s="5">
        <f>5*Q4</f>
        <v>0</v>
      </c>
      <c r="D50" s="5" t="s">
        <v>736</v>
      </c>
      <c r="H50" s="5" t="s">
        <v>405</v>
      </c>
      <c r="I50" s="55">
        <f>'Clinical Info'!H19</f>
        <v>0</v>
      </c>
      <c r="J50" s="28" t="str">
        <f>'Clinical Info'!A18</f>
        <v>Percent of images that are camera images such as dermatology conditions, rashes, etc. (2MB maximum size per image):</v>
      </c>
      <c r="K50" s="499"/>
      <c r="M50" s="12"/>
      <c r="N50" s="12"/>
      <c r="U50" s="479"/>
      <c r="V50" s="479"/>
      <c r="Y50" s="53" t="s">
        <v>716</v>
      </c>
      <c r="Z50" s="5">
        <f>VLOOKUP(I30,Y45:AA49,2,FALSE)</f>
        <v>1</v>
      </c>
      <c r="AA50" s="479"/>
      <c r="AC50" s="5" t="s">
        <v>562</v>
      </c>
      <c r="AD50" s="5">
        <v>10</v>
      </c>
    </row>
    <row r="51" spans="1:30" s="5" customFormat="1" ht="14.65" hidden="1" thickBot="1">
      <c r="C51" s="5">
        <f>SUM(C44:C50)</f>
        <v>1200</v>
      </c>
      <c r="D51" s="5" t="s">
        <v>429</v>
      </c>
      <c r="H51" s="5" t="s">
        <v>406</v>
      </c>
      <c r="I51" s="55" t="e">
        <f>'Clinical Info'!#REF!</f>
        <v>#REF!</v>
      </c>
      <c r="J51" s="28" t="str">
        <f>'Clinical Info'!A19</f>
        <v>Percent of images that are clinical library sketches or  scanned images such as insurance cards, driver licenses, ID's (50KB average size per image):</v>
      </c>
      <c r="K51" s="499"/>
      <c r="M51" s="12"/>
      <c r="N51" s="12"/>
      <c r="U51" s="479"/>
      <c r="V51" s="479"/>
      <c r="Y51" s="5" t="s">
        <v>732</v>
      </c>
      <c r="AA51" s="479"/>
      <c r="AC51" s="5" t="s">
        <v>549</v>
      </c>
      <c r="AD51" s="5">
        <v>4</v>
      </c>
    </row>
    <row r="52" spans="1:30" s="5" customFormat="1" ht="14.65" hidden="1" thickBot="1">
      <c r="C52" s="5">
        <f>K18*1.25*1024</f>
        <v>5120</v>
      </c>
      <c r="D52" s="5" t="s">
        <v>458</v>
      </c>
      <c r="H52" s="5" t="s">
        <v>402</v>
      </c>
      <c r="I52" s="54">
        <f>'Clinical Info'!H20</f>
        <v>0</v>
      </c>
      <c r="J52" s="28" t="str">
        <f>'Clinical Info'!A20</f>
        <v>Enter the approximate number (not percentage) of patients with digital photo attached to their Medical Record:</v>
      </c>
      <c r="K52" s="499"/>
      <c r="M52" s="12"/>
      <c r="N52" s="12"/>
      <c r="U52" s="479"/>
      <c r="V52" s="479"/>
      <c r="Y52" s="75" t="s">
        <v>427</v>
      </c>
      <c r="Z52" s="57" t="s">
        <v>428</v>
      </c>
      <c r="AA52" s="510" t="s">
        <v>532</v>
      </c>
      <c r="AC52" s="5" t="s">
        <v>550</v>
      </c>
      <c r="AD52" s="5">
        <v>8</v>
      </c>
    </row>
    <row r="53" spans="1:30" s="5" customFormat="1" ht="14.65" hidden="1" thickBot="1">
      <c r="C53" s="5">
        <f>7*1024</f>
        <v>7168</v>
      </c>
      <c r="D53" s="5" t="s">
        <v>459</v>
      </c>
      <c r="I53" s="53"/>
      <c r="J53" s="28" t="str">
        <f>'Clinical Info'!I20</f>
        <v>i.e. Images of  patient photos  captured into system via Digital Camera</v>
      </c>
      <c r="K53" s="499"/>
      <c r="M53" s="12"/>
      <c r="N53" s="12"/>
      <c r="S53" s="35"/>
      <c r="U53" s="479"/>
      <c r="V53" s="479"/>
      <c r="X53" s="272" t="str">
        <f>Y41</f>
        <v/>
      </c>
      <c r="Y53" s="271" t="e">
        <f>IF(S25=10,IF(ISODD(ROUNDUP(Y38,0)),ROUNDUP(Y38,0)+1,ROUNDUP(Y38,0)),ROUNDUP(Y38,0))</f>
        <v>#VALUE!</v>
      </c>
      <c r="Z53" s="270" t="e">
        <f>IF(S25=10,IF(ISODD(ROUNDUP(Z38,0)),ROUNDUP(Z38,0)+1,ROUNDUP(Z38,0)),ROUNDUP(Z38,0))</f>
        <v>#VALUE!</v>
      </c>
      <c r="AA53" s="511" t="str">
        <f>IF(ISBLANK($K$8),"",ROUNDUP(D25/$K$8,0))</f>
        <v/>
      </c>
      <c r="AB53" s="269"/>
    </row>
    <row r="54" spans="1:30" s="5" customFormat="1" ht="15" hidden="1" thickTop="1" thickBot="1">
      <c r="H54" s="5" t="s">
        <v>407</v>
      </c>
      <c r="I54" s="28">
        <f>Q4</f>
        <v>0</v>
      </c>
      <c r="J54" s="5" t="str">
        <f>R4</f>
        <v>T7</v>
      </c>
      <c r="K54" s="499"/>
      <c r="M54" s="12"/>
      <c r="N54" s="12"/>
      <c r="S54" s="35"/>
      <c r="U54" s="479"/>
      <c r="V54" s="479"/>
      <c r="Y54" s="271" t="e">
        <f>IF(S26=10,IF(ISODD(ROUNDUP(Y40,0)),ROUNDUP(Y40,0)+1,ROUNDUP(Y40,0)),ROUNDUP(Y40,0))</f>
        <v>#VALUE!</v>
      </c>
      <c r="Z54" s="270" t="e">
        <f>IF(S26=10,IF(ISODD(ROUNDUP(Z40,0)),ROUNDUP(Z40,0)+1,ROUNDUP(Z40,0)),ROUNDUP(Z40,0))</f>
        <v>#VALUE!</v>
      </c>
      <c r="AA54" s="511" t="str">
        <f>IF(ISBLANK($K$8),"",ROUNDUP(D26/$K$8,0))</f>
        <v/>
      </c>
    </row>
    <row r="55" spans="1:30" s="5" customFormat="1" ht="15" hidden="1" thickTop="1" thickBot="1">
      <c r="H55" s="5" t="s">
        <v>408</v>
      </c>
      <c r="I55" s="28">
        <f>K5</f>
        <v>0</v>
      </c>
      <c r="J55" s="5" t="str">
        <f>A5</f>
        <v>Enter the existing athenaPractice database size. If multiple databases, enter total size. Please enter only numeric value in GB.</v>
      </c>
      <c r="K55" s="499"/>
      <c r="M55" s="12"/>
      <c r="N55" s="12"/>
      <c r="T55" s="35"/>
      <c r="U55" s="486"/>
      <c r="V55" s="486"/>
      <c r="W55" s="35"/>
      <c r="X55" s="35"/>
      <c r="Y55" s="271" t="e">
        <f>IF(S27=10,IF(ISODD(ROUNDUP(Y41,0)),ROUNDUP(Y41,0)+1,ROUNDUP(Y41,0)),ROUNDUP(Y41,0))</f>
        <v>#VALUE!</v>
      </c>
      <c r="Z55" s="270" t="e">
        <f>IF(S27=10,IF(ISODD(ROUNDUP(Z41,0)),ROUNDUP(Z41,0)+1,ROUNDUP(Z41,0)),ROUNDUP(Z41,0))</f>
        <v>#VALUE!</v>
      </c>
      <c r="AA55" s="511" t="str">
        <f>IF(ISBLANK($K$8),"",ROUNDUP(D27/$K$8,0))</f>
        <v/>
      </c>
    </row>
    <row r="56" spans="1:30" s="5" customFormat="1" ht="15" hidden="1" thickTop="1" thickBot="1">
      <c r="H56" s="5" t="s">
        <v>409</v>
      </c>
      <c r="I56" s="28">
        <f>K6</f>
        <v>0</v>
      </c>
      <c r="J56" s="5" t="str">
        <f>A6</f>
        <v>Enter the size of the existing Centricity EMR 9.x Oracle dbase if being migrated to CPS.  If not Migrating from Centricity Oracle EMR or if you are  PM-only  leave at 0 please</v>
      </c>
      <c r="K56" s="499"/>
      <c r="M56" s="12"/>
      <c r="N56" s="12"/>
      <c r="T56" s="35"/>
      <c r="U56" s="486"/>
      <c r="V56" s="486"/>
      <c r="W56" s="35"/>
      <c r="X56" s="35"/>
      <c r="Y56" s="141" t="e">
        <f>IF(AND(Y53&lt;&gt;"",Y54&lt;&gt;""),SUM(Y53:Y55),"")</f>
        <v>#VALUE!</v>
      </c>
      <c r="Z56" s="139" t="e">
        <f>IF(AND(Z53&lt;&gt;"",Z54&lt;&gt;""),SUM(Z53:Z55),"")</f>
        <v>#VALUE!</v>
      </c>
      <c r="AA56" s="511" t="str">
        <f>IF(AND(AA53&lt;&gt;"",AA54&lt;&gt;""),SUM(AA53:AA55),"")</f>
        <v/>
      </c>
    </row>
    <row r="57" spans="1:30" s="5" customFormat="1" ht="14.65" hidden="1" thickTop="1">
      <c r="H57" s="5" t="s">
        <v>410</v>
      </c>
      <c r="I57" s="28">
        <f>K12</f>
        <v>0</v>
      </c>
      <c r="J57" s="5" t="str">
        <f>A12</f>
        <v>Additional disk space needed for staging area / client install on volume:</v>
      </c>
      <c r="K57" s="499"/>
      <c r="M57" s="12"/>
      <c r="N57" s="12"/>
      <c r="U57" s="479"/>
      <c r="V57" s="479"/>
      <c r="AA57" s="479"/>
    </row>
    <row r="58" spans="1:30" s="5" customFormat="1" hidden="1">
      <c r="K58" s="499"/>
      <c r="M58" s="12"/>
      <c r="N58" s="12"/>
      <c r="U58" s="479"/>
      <c r="V58" s="479"/>
      <c r="AA58" s="479"/>
    </row>
    <row r="59" spans="1:30" s="5" customFormat="1" hidden="1">
      <c r="H59" s="5" t="s">
        <v>414</v>
      </c>
      <c r="I59" s="5">
        <f>'Clinical Info'!O17</f>
        <v>0.1</v>
      </c>
      <c r="J59" s="5">
        <f>'Clinical Info'!P17</f>
        <v>1</v>
      </c>
      <c r="K59" s="479" t="str">
        <f>'Clinical Info'!Q17</f>
        <v>Audit index/Flag</v>
      </c>
      <c r="M59" s="12"/>
      <c r="N59" s="12"/>
      <c r="U59" s="479"/>
      <c r="V59" s="479"/>
      <c r="AA59" s="479"/>
    </row>
    <row r="60" spans="1:30" s="5" customFormat="1" hidden="1">
      <c r="K60" s="499"/>
      <c r="M60" s="12"/>
      <c r="N60" s="12"/>
      <c r="U60" s="479"/>
      <c r="V60" s="479"/>
      <c r="AA60" s="479"/>
    </row>
    <row r="61" spans="1:30" s="5" customFormat="1" hidden="1">
      <c r="A61" s="77" t="s">
        <v>418</v>
      </c>
      <c r="D61" s="21"/>
      <c r="E61" s="35"/>
      <c r="F61" s="35"/>
      <c r="H61" s="77" t="s">
        <v>419</v>
      </c>
      <c r="K61" s="22"/>
      <c r="L61" s="35"/>
      <c r="M61" s="35"/>
      <c r="N61" s="35"/>
      <c r="U61" s="479"/>
      <c r="V61" s="479"/>
      <c r="W61" s="35"/>
      <c r="AA61" s="479"/>
    </row>
    <row r="62" spans="1:30" s="5" customFormat="1" hidden="1">
      <c r="A62" s="35" t="s">
        <v>384</v>
      </c>
      <c r="B62" s="35"/>
      <c r="C62" s="63">
        <f>E25+F25</f>
        <v>0</v>
      </c>
      <c r="D62" s="21"/>
      <c r="E62" s="35"/>
      <c r="F62" s="35"/>
      <c r="H62" s="35" t="s">
        <v>384</v>
      </c>
      <c r="I62" s="35"/>
      <c r="J62" s="65">
        <f>P35+Q35</f>
        <v>456.89391503670697</v>
      </c>
      <c r="K62" s="22"/>
      <c r="L62" s="35"/>
      <c r="M62" s="35"/>
      <c r="N62" s="35"/>
      <c r="U62" s="479"/>
      <c r="V62" s="479"/>
      <c r="AA62" s="479"/>
    </row>
    <row r="63" spans="1:30" s="5" customFormat="1" hidden="1">
      <c r="A63" s="35" t="s">
        <v>387</v>
      </c>
      <c r="B63" s="35"/>
      <c r="C63" s="63">
        <f>IF(OR(C62=0,ISBLANK(C62)),0,100*E25/C62)</f>
        <v>0</v>
      </c>
      <c r="D63" s="21"/>
      <c r="E63" s="35"/>
      <c r="F63" s="35"/>
      <c r="H63" s="35" t="s">
        <v>387</v>
      </c>
      <c r="I63" s="35"/>
      <c r="J63" s="63">
        <f>IF(OR(J62=0,ISBLANK(J62)),0,100*P35/J62)</f>
        <v>56.832901685872372</v>
      </c>
      <c r="K63" s="22"/>
      <c r="L63" s="35"/>
      <c r="M63" s="35"/>
      <c r="N63" s="35"/>
      <c r="U63" s="479"/>
      <c r="V63" s="479"/>
      <c r="AA63" s="479"/>
    </row>
    <row r="64" spans="1:30" s="5" customFormat="1" ht="18" hidden="1">
      <c r="A64" s="35" t="s">
        <v>389</v>
      </c>
      <c r="B64" s="35"/>
      <c r="C64" s="64">
        <f>100-C63</f>
        <v>100</v>
      </c>
      <c r="D64" s="21"/>
      <c r="E64" s="35"/>
      <c r="F64" s="35"/>
      <c r="H64" s="35" t="s">
        <v>389</v>
      </c>
      <c r="I64" s="35"/>
      <c r="J64" s="64">
        <f>100-J63</f>
        <v>43.167098314127628</v>
      </c>
      <c r="K64" s="22"/>
      <c r="L64" s="35"/>
      <c r="M64" s="35"/>
      <c r="N64" s="35"/>
      <c r="P64" s="34"/>
      <c r="U64" s="479"/>
      <c r="V64" s="486"/>
      <c r="AA64" s="479"/>
    </row>
    <row r="65" spans="1:27" s="5" customFormat="1" ht="18" hidden="1">
      <c r="A65" s="37" t="s">
        <v>393</v>
      </c>
      <c r="B65" s="37"/>
      <c r="C65" s="38"/>
      <c r="D65" s="39">
        <v>1</v>
      </c>
      <c r="E65" s="40">
        <v>5</v>
      </c>
      <c r="F65" s="41">
        <v>6</v>
      </c>
      <c r="G65" s="67">
        <v>10</v>
      </c>
      <c r="H65" s="37" t="s">
        <v>393</v>
      </c>
      <c r="I65" s="37"/>
      <c r="J65" s="38"/>
      <c r="K65" s="500">
        <v>1</v>
      </c>
      <c r="L65" s="40">
        <v>5</v>
      </c>
      <c r="M65" s="41">
        <v>6</v>
      </c>
      <c r="N65" s="67">
        <v>10</v>
      </c>
      <c r="O65" s="34" t="s">
        <v>383</v>
      </c>
      <c r="P65"/>
      <c r="U65" s="479"/>
      <c r="V65" s="486"/>
      <c r="AA65" s="479"/>
    </row>
    <row r="66" spans="1:27" s="5" customFormat="1" hidden="1">
      <c r="A66" s="37" t="s">
        <v>395</v>
      </c>
      <c r="B66" s="37"/>
      <c r="C66" s="38"/>
      <c r="D66" s="42">
        <f>(C62*C63/100)+(C62*C64/100*2)</f>
        <v>0</v>
      </c>
      <c r="E66" s="43">
        <f>(C62*C63/100)+(C62*C64/100*4)</f>
        <v>0</v>
      </c>
      <c r="F66" s="44">
        <f>(C62*C63/100)+(C62*C64/100*6)</f>
        <v>0</v>
      </c>
      <c r="G66" s="68">
        <f>(C62*C63/100)+(C62*C64/100*2)</f>
        <v>0</v>
      </c>
      <c r="H66" s="37" t="s">
        <v>395</v>
      </c>
      <c r="I66" s="37"/>
      <c r="J66" s="38"/>
      <c r="K66" s="501">
        <f>(J62*J63/100)+(J62*J64/100*2)</f>
        <v>654.12176053186897</v>
      </c>
      <c r="L66" s="43">
        <f>(J62*J63/100)+(J62*J64/100*4)</f>
        <v>1048.5774515221931</v>
      </c>
      <c r="M66" s="44">
        <f>(J62*J63/100)+(J62*J64/100*6)</f>
        <v>1443.0331425125171</v>
      </c>
      <c r="N66" s="68">
        <f>(J62*J63/100)+(J62*J64/100*2)</f>
        <v>654.12176053186897</v>
      </c>
      <c r="O66" s="30" t="s">
        <v>385</v>
      </c>
      <c r="P66" s="1">
        <f>L25</f>
        <v>0</v>
      </c>
      <c r="U66" s="479"/>
      <c r="V66" s="486"/>
      <c r="AA66" s="479"/>
    </row>
    <row r="67" spans="1:27" s="5" customFormat="1" hidden="1">
      <c r="A67" s="35" t="s">
        <v>396</v>
      </c>
      <c r="B67" s="35"/>
      <c r="C67" s="35"/>
      <c r="D67" s="45"/>
      <c r="E67" s="46"/>
      <c r="F67" s="47"/>
      <c r="G67" s="69"/>
      <c r="H67" s="35" t="s">
        <v>396</v>
      </c>
      <c r="I67" s="35"/>
      <c r="J67" s="35"/>
      <c r="K67" s="502"/>
      <c r="L67" s="46"/>
      <c r="M67" s="47"/>
      <c r="N67" s="69"/>
      <c r="O67" t="s">
        <v>386</v>
      </c>
      <c r="P67" s="76">
        <f>P25</f>
        <v>1</v>
      </c>
      <c r="U67" s="479"/>
      <c r="V67" s="486"/>
      <c r="AA67" s="479"/>
    </row>
    <row r="68" spans="1:27" s="5" customFormat="1" hidden="1">
      <c r="A68" s="35">
        <v>75</v>
      </c>
      <c r="B68" s="35" t="s">
        <v>6</v>
      </c>
      <c r="C68" s="35" t="s">
        <v>435</v>
      </c>
      <c r="D68" s="45">
        <f>EVEN(D66/A68)</f>
        <v>0</v>
      </c>
      <c r="E68" s="46">
        <f>IF(ROUNDUP(E66/A68,0)&lt;3,3,ROUNDUP(E66/A68,0))</f>
        <v>3</v>
      </c>
      <c r="F68" s="47">
        <f>IF(ROUNDUP(F66/A68,0)&lt;4,4,ROUNDUP(F66/A68,0))</f>
        <v>4</v>
      </c>
      <c r="G68" s="69">
        <f>EVEN(G66/A68)</f>
        <v>0</v>
      </c>
      <c r="H68" s="35">
        <v>75</v>
      </c>
      <c r="I68" s="35" t="s">
        <v>6</v>
      </c>
      <c r="J68" s="35" t="s">
        <v>435</v>
      </c>
      <c r="K68" s="502">
        <f>EVEN(K66/H68)</f>
        <v>10</v>
      </c>
      <c r="L68" s="46">
        <f>IF(ROUNDUP(L66/H68,0)&lt;3,3,ROUNDUP(L66/H68,0))</f>
        <v>14</v>
      </c>
      <c r="M68" s="47">
        <f>IF(ROUNDUP(M66/H68,0)&lt;4,4,ROUNDUP(M66/H68,0))</f>
        <v>20</v>
      </c>
      <c r="N68" s="69">
        <f>EVEN(N66/H68)</f>
        <v>10</v>
      </c>
      <c r="O68" t="s">
        <v>388</v>
      </c>
      <c r="P68" s="36" t="str">
        <f>LOOKUP(P67,$AA$23:$AA$29,$AC$23:$AC$29)</f>
        <v>Select One:</v>
      </c>
      <c r="U68" s="479"/>
      <c r="V68" s="486"/>
      <c r="AA68" s="479"/>
    </row>
    <row r="69" spans="1:27" s="5" customFormat="1" hidden="1">
      <c r="A69" s="35">
        <v>125</v>
      </c>
      <c r="B69" s="35" t="s">
        <v>6</v>
      </c>
      <c r="C69" s="35" t="s">
        <v>436</v>
      </c>
      <c r="D69" s="45">
        <f>EVEN(D66/A69)</f>
        <v>0</v>
      </c>
      <c r="E69" s="46">
        <f>IF(ROUNDUP(E66/A69,0)&lt;3,3,ROUNDUP(E66/A69,0))</f>
        <v>3</v>
      </c>
      <c r="F69" s="47">
        <f>IF(ROUNDUP(F66/A69,0)&lt;4,4,ROUNDUP(F66/A69,0))</f>
        <v>4</v>
      </c>
      <c r="G69" s="69">
        <f>EVEN(G66/A69)</f>
        <v>0</v>
      </c>
      <c r="H69" s="35">
        <v>125</v>
      </c>
      <c r="I69" s="35" t="s">
        <v>6</v>
      </c>
      <c r="J69" s="35" t="s">
        <v>436</v>
      </c>
      <c r="K69" s="502">
        <f>EVEN(K66/H69)</f>
        <v>6</v>
      </c>
      <c r="L69" s="46">
        <f>IF(ROUNDUP(L66/H69,0)&lt;3,3,ROUNDUP(L66/H69,0))</f>
        <v>9</v>
      </c>
      <c r="M69" s="47">
        <f>IF(ROUNDUP(M66/H69,0)&lt;4,4,ROUNDUP(M66/H69,0))</f>
        <v>12</v>
      </c>
      <c r="N69" s="69">
        <f>EVEN(N66/H69)</f>
        <v>6</v>
      </c>
      <c r="O69" t="s">
        <v>390</v>
      </c>
      <c r="P69" s="76">
        <f>R25</f>
        <v>1</v>
      </c>
      <c r="U69" s="479"/>
      <c r="V69" s="486"/>
      <c r="AA69" s="479"/>
    </row>
    <row r="70" spans="1:27" s="5" customFormat="1" hidden="1">
      <c r="A70" s="35">
        <v>140</v>
      </c>
      <c r="B70" s="35" t="s">
        <v>6</v>
      </c>
      <c r="C70" s="35" t="s">
        <v>437</v>
      </c>
      <c r="D70" s="45">
        <f>EVEN(D66/A70)</f>
        <v>0</v>
      </c>
      <c r="E70" s="46">
        <f>IF(ROUNDUP(E66/A70,0)&lt;3,3,ROUNDUP(E66/A70,0))</f>
        <v>3</v>
      </c>
      <c r="F70" s="47">
        <f>IF(ROUNDUP(F66/A70,0)&lt;4,4,ROUNDUP(F66/A70,0))</f>
        <v>4</v>
      </c>
      <c r="G70" s="69">
        <f>EVEN(G66/A70)</f>
        <v>0</v>
      </c>
      <c r="H70" s="35">
        <v>140</v>
      </c>
      <c r="I70" s="35" t="s">
        <v>6</v>
      </c>
      <c r="J70" s="35" t="s">
        <v>437</v>
      </c>
      <c r="K70" s="502">
        <f>EVEN(K66/H70)</f>
        <v>6</v>
      </c>
      <c r="L70" s="46">
        <f>IF(ROUNDUP(L66/H70,0)&lt;3,3,ROUNDUP(L66/H70,0))</f>
        <v>8</v>
      </c>
      <c r="M70" s="47">
        <f>IF(ROUNDUP(M66/H70,0)&lt;4,4,ROUNDUP(M66/H70,0))</f>
        <v>11</v>
      </c>
      <c r="N70" s="69">
        <f>EVEN(N66/H70)</f>
        <v>6</v>
      </c>
      <c r="O70" t="s">
        <v>392</v>
      </c>
      <c r="P70" s="36" t="str">
        <f>IF(OR(P67=1, P66=0),"N/A",LOOKUP(P69,$X$24:$X$27,$Z$24:$Z$27)*P66*P68)</f>
        <v>N/A</v>
      </c>
      <c r="U70" s="479"/>
      <c r="V70" s="479"/>
      <c r="AA70" s="479"/>
    </row>
    <row r="71" spans="1:27" s="5" customFormat="1" ht="12" hidden="1" customHeight="1">
      <c r="A71" s="35">
        <v>180</v>
      </c>
      <c r="B71" s="35" t="s">
        <v>6</v>
      </c>
      <c r="C71" s="35" t="s">
        <v>438</v>
      </c>
      <c r="D71" s="45">
        <f>EVEN(D66/A71)</f>
        <v>0</v>
      </c>
      <c r="E71" s="46">
        <f>IF(ROUNDUP(E66/A71,0)&lt;3,3,ROUNDUP(E66/A71,0))</f>
        <v>3</v>
      </c>
      <c r="F71" s="47">
        <f>IF(ROUNDUP(F66/A71,0)&lt;4,4,ROUNDUP(F66/A71,0))</f>
        <v>4</v>
      </c>
      <c r="G71" s="69">
        <f>EVEN(G66/A71)</f>
        <v>0</v>
      </c>
      <c r="H71" s="35">
        <v>180</v>
      </c>
      <c r="I71" s="35" t="s">
        <v>6</v>
      </c>
      <c r="J71" s="35" t="s">
        <v>438</v>
      </c>
      <c r="K71" s="502">
        <f>EVEN(K66/H71)</f>
        <v>4</v>
      </c>
      <c r="L71" s="46">
        <f>IF(ROUNDUP(L66/H71,0)&lt;3,3,ROUNDUP(L66/H71,0))</f>
        <v>6</v>
      </c>
      <c r="M71" s="47">
        <f>IF(ROUNDUP(M66/H71,0)&lt;4,4,ROUNDUP(M66/H71,0))</f>
        <v>9</v>
      </c>
      <c r="N71" s="69">
        <f>EVEN(N66/H71)</f>
        <v>4</v>
      </c>
      <c r="O71" t="s">
        <v>394</v>
      </c>
      <c r="P71" s="21" t="str">
        <f>IF(P70="N/A","N/A",IF(HLOOKUP($S$25,D65:G66,2)&lt;P70,"Yes","No"))</f>
        <v>N/A</v>
      </c>
      <c r="U71" s="479"/>
      <c r="V71" s="479"/>
      <c r="AA71" s="479"/>
    </row>
    <row r="72" spans="1:27" s="5" customFormat="1" ht="12" hidden="1" customHeight="1">
      <c r="A72" s="35">
        <v>185</v>
      </c>
      <c r="B72" s="35" t="s">
        <v>6</v>
      </c>
      <c r="C72" s="35" t="s">
        <v>439</v>
      </c>
      <c r="D72" s="45">
        <f>EVEN(D66/A72)</f>
        <v>0</v>
      </c>
      <c r="E72" s="46">
        <f>IF(ROUNDUP(E66/A72,0)&lt;3,3,ROUNDUP(E66/A72,0))</f>
        <v>3</v>
      </c>
      <c r="F72" s="47">
        <f>IF(ROUNDUP(F66/A72,0)&lt;4,4,ROUNDUP(F66/A72,0))</f>
        <v>4</v>
      </c>
      <c r="G72" s="69">
        <f>EVEN(G66/A72)</f>
        <v>0</v>
      </c>
      <c r="H72" s="35">
        <v>185</v>
      </c>
      <c r="I72" s="35" t="s">
        <v>6</v>
      </c>
      <c r="J72" s="35" t="s">
        <v>439</v>
      </c>
      <c r="K72" s="502">
        <f>EVEN(K66/H72)</f>
        <v>4</v>
      </c>
      <c r="L72" s="46">
        <f>IF(ROUNDUP(L66/H72,0)&lt;3,3,ROUNDUP(L66/H72,0))</f>
        <v>6</v>
      </c>
      <c r="M72" s="47">
        <f>IF(ROUNDUP(M66/H72,0)&lt;4,4,ROUNDUP(M66/H72,0))</f>
        <v>8</v>
      </c>
      <c r="N72" s="69">
        <f>EVEN(N66/H72)</f>
        <v>4</v>
      </c>
      <c r="O72" s="21" t="s">
        <v>456</v>
      </c>
      <c r="P72" s="21" t="str">
        <f>IF(P70="N/A","N/A",IF(HLOOKUP($S$26,K65:N66,2)&lt;P70,"Yes","No"))</f>
        <v>N/A</v>
      </c>
      <c r="U72" s="479"/>
      <c r="V72" s="479"/>
      <c r="AA72" s="479"/>
    </row>
    <row r="73" spans="1:27" s="5" customFormat="1" ht="12" hidden="1" customHeight="1">
      <c r="A73" s="35">
        <v>1800</v>
      </c>
      <c r="B73" s="35" t="s">
        <v>6</v>
      </c>
      <c r="C73" s="35" t="s">
        <v>391</v>
      </c>
      <c r="D73" s="49">
        <f>EVEN(D66/A73)</f>
        <v>0</v>
      </c>
      <c r="E73" s="50">
        <f>IF(ROUNDUP(E66/A73,0)&lt;3,3,ROUNDUP(E66/A73,0))</f>
        <v>3</v>
      </c>
      <c r="F73" s="51">
        <f>IF(ROUNDUP(F66/A73,0)&lt;4,4,ROUNDUP(F66/A73,0))</f>
        <v>4</v>
      </c>
      <c r="G73" s="70">
        <f>EVEN(G66/A73)</f>
        <v>0</v>
      </c>
      <c r="H73" s="35">
        <v>1800</v>
      </c>
      <c r="I73" s="35" t="s">
        <v>6</v>
      </c>
      <c r="J73" s="35" t="s">
        <v>391</v>
      </c>
      <c r="K73" s="503">
        <f>EVEN(K66/H73)</f>
        <v>2</v>
      </c>
      <c r="L73" s="50">
        <f>IF(ROUNDUP(L66/H73,0)&lt;3,3,ROUNDUP(L66/H73,0))</f>
        <v>3</v>
      </c>
      <c r="M73" s="51">
        <f>IF(ROUNDUP(M66/H73,0)&lt;4,4,ROUNDUP(M66/H73,0))</f>
        <v>4</v>
      </c>
      <c r="N73" s="70">
        <f>EVEN(N66/H73)</f>
        <v>2</v>
      </c>
      <c r="O73" s="48" t="s">
        <v>457</v>
      </c>
      <c r="P73" s="21"/>
      <c r="U73" s="479"/>
      <c r="V73" s="479"/>
      <c r="AA73" s="479"/>
    </row>
    <row r="74" spans="1:27" s="5" customFormat="1" ht="12" hidden="1" customHeight="1">
      <c r="A74" s="35"/>
      <c r="B74" s="35"/>
      <c r="C74" s="35"/>
      <c r="D74" s="56"/>
      <c r="E74" s="56"/>
      <c r="F74" s="56"/>
      <c r="G74"/>
      <c r="H74" s="35"/>
      <c r="I74" s="35"/>
      <c r="J74" s="35"/>
      <c r="K74" s="504"/>
      <c r="L74" s="56"/>
      <c r="M74" s="56"/>
      <c r="O74" s="48"/>
      <c r="U74" s="479"/>
      <c r="V74" s="479"/>
      <c r="AA74" s="479"/>
    </row>
    <row r="75" spans="1:27" s="5" customFormat="1" ht="12" hidden="1" customHeight="1">
      <c r="A75" s="77" t="s">
        <v>420</v>
      </c>
      <c r="H75" s="77" t="s">
        <v>421</v>
      </c>
      <c r="K75" s="479"/>
      <c r="U75" s="479"/>
      <c r="V75" s="479"/>
      <c r="AA75" s="479"/>
    </row>
    <row r="76" spans="1:27" s="5" customFormat="1" ht="16.5" hidden="1" customHeight="1">
      <c r="A76" s="35" t="s">
        <v>384</v>
      </c>
      <c r="B76" s="35"/>
      <c r="C76" s="63">
        <f>E26+F26</f>
        <v>0</v>
      </c>
      <c r="D76" s="21"/>
      <c r="E76" s="35"/>
      <c r="F76" s="35"/>
      <c r="H76" s="35" t="s">
        <v>384</v>
      </c>
      <c r="I76" s="35"/>
      <c r="J76" s="65">
        <f>P36+Q36</f>
        <v>628.88043472222228</v>
      </c>
      <c r="K76" s="22"/>
      <c r="L76" s="35"/>
      <c r="M76" s="35"/>
      <c r="U76" s="479"/>
      <c r="V76" s="479"/>
      <c r="AA76" s="479"/>
    </row>
    <row r="77" spans="1:27" s="5" customFormat="1" ht="12" hidden="1" customHeight="1">
      <c r="A77" s="35" t="s">
        <v>387</v>
      </c>
      <c r="B77" s="35"/>
      <c r="C77" s="63">
        <f>IF(OR(C76=0,ISBLANK(C76)),0,100*E26/C76)</f>
        <v>0</v>
      </c>
      <c r="D77" s="21"/>
      <c r="E77" s="35"/>
      <c r="F77" s="35"/>
      <c r="H77" s="35" t="s">
        <v>387</v>
      </c>
      <c r="I77" s="35"/>
      <c r="J77" s="63">
        <f>IF(OR(J76=0,ISBLANK(J76)),0,100*P36/J76)</f>
        <v>4.5454545454545459</v>
      </c>
      <c r="K77" s="22"/>
      <c r="L77" s="35"/>
      <c r="M77" s="35"/>
      <c r="U77" s="479"/>
      <c r="V77" s="479"/>
      <c r="AA77" s="479"/>
    </row>
    <row r="78" spans="1:27" s="5" customFormat="1" ht="15.75" hidden="1" customHeight="1">
      <c r="A78" s="35" t="s">
        <v>389</v>
      </c>
      <c r="B78" s="35"/>
      <c r="C78" s="64">
        <f>100-C77</f>
        <v>100</v>
      </c>
      <c r="D78" s="21"/>
      <c r="E78" s="35"/>
      <c r="F78" s="35"/>
      <c r="H78" s="35" t="s">
        <v>389</v>
      </c>
      <c r="I78" s="35"/>
      <c r="J78" s="64">
        <f>100-J77</f>
        <v>95.454545454545453</v>
      </c>
      <c r="K78" s="22"/>
      <c r="L78" s="35"/>
      <c r="M78" s="35"/>
      <c r="P78" s="34"/>
      <c r="U78" s="479"/>
      <c r="V78" s="479"/>
      <c r="AA78" s="479"/>
    </row>
    <row r="79" spans="1:27" s="5" customFormat="1" ht="17.25" hidden="1" customHeight="1">
      <c r="A79" s="37" t="s">
        <v>393</v>
      </c>
      <c r="B79" s="37"/>
      <c r="C79" s="38"/>
      <c r="D79" s="39">
        <v>1</v>
      </c>
      <c r="E79" s="40">
        <v>5</v>
      </c>
      <c r="F79" s="41">
        <v>6</v>
      </c>
      <c r="G79" s="67">
        <v>10</v>
      </c>
      <c r="H79" s="37" t="s">
        <v>393</v>
      </c>
      <c r="I79" s="37"/>
      <c r="J79" s="38"/>
      <c r="K79" s="500">
        <v>1</v>
      </c>
      <c r="L79" s="40">
        <v>5</v>
      </c>
      <c r="M79" s="41">
        <v>6</v>
      </c>
      <c r="N79" s="67">
        <v>10</v>
      </c>
      <c r="O79" s="34" t="s">
        <v>383</v>
      </c>
      <c r="P79"/>
      <c r="U79" s="479"/>
      <c r="V79" s="479"/>
      <c r="AA79" s="479"/>
    </row>
    <row r="80" spans="1:27" s="5" customFormat="1" ht="12" hidden="1" customHeight="1">
      <c r="A80" s="37" t="s">
        <v>395</v>
      </c>
      <c r="B80" s="37"/>
      <c r="C80" s="38"/>
      <c r="D80" s="42">
        <f>(C76*C77/100)+(C76*C78/100*2)</f>
        <v>0</v>
      </c>
      <c r="E80" s="43">
        <f>(C76*C77/100)+(C76*C78/100*4)</f>
        <v>0</v>
      </c>
      <c r="F80" s="44">
        <f>(C76*C77/100)+(C76*C78/100*6)</f>
        <v>0</v>
      </c>
      <c r="G80" s="68">
        <f>(C76*C77/100)+(C76*C78/100*2)</f>
        <v>0</v>
      </c>
      <c r="H80" s="37" t="s">
        <v>395</v>
      </c>
      <c r="I80" s="37"/>
      <c r="J80" s="38"/>
      <c r="K80" s="501">
        <f>(J76*J77/100)+(J76*J78/100*2)</f>
        <v>1229.1753951388891</v>
      </c>
      <c r="L80" s="43">
        <f>(J76*J77/100)+(J76*J78/100*4)</f>
        <v>2429.7653159722227</v>
      </c>
      <c r="M80" s="44">
        <f>(J76*J77/100)+(J76*J78/100*6)</f>
        <v>3630.3552368055562</v>
      </c>
      <c r="N80" s="68">
        <f>(J76*J77/100)+(J76*J78/100*2)</f>
        <v>1229.1753951388891</v>
      </c>
      <c r="O80" s="30" t="s">
        <v>385</v>
      </c>
      <c r="P80" s="1">
        <f>L26</f>
        <v>0</v>
      </c>
      <c r="U80" s="479"/>
      <c r="V80" s="479"/>
      <c r="AA80" s="479"/>
    </row>
    <row r="81" spans="1:27" s="5" customFormat="1" ht="12" hidden="1" customHeight="1">
      <c r="A81" s="35" t="s">
        <v>396</v>
      </c>
      <c r="B81" s="35"/>
      <c r="C81" s="35"/>
      <c r="D81" s="45"/>
      <c r="E81" s="46"/>
      <c r="F81" s="47"/>
      <c r="G81" s="69"/>
      <c r="H81" s="35" t="s">
        <v>396</v>
      </c>
      <c r="I81" s="35"/>
      <c r="J81" s="35"/>
      <c r="K81" s="502"/>
      <c r="L81" s="46"/>
      <c r="M81" s="47"/>
      <c r="N81" s="69"/>
      <c r="O81" t="s">
        <v>386</v>
      </c>
      <c r="P81" s="76">
        <f>P26</f>
        <v>1</v>
      </c>
      <c r="U81" s="479"/>
      <c r="V81" s="479"/>
      <c r="AA81" s="479"/>
    </row>
    <row r="82" spans="1:27" s="5" customFormat="1" ht="12" hidden="1" customHeight="1">
      <c r="A82" s="35">
        <v>75</v>
      </c>
      <c r="B82" s="35" t="s">
        <v>6</v>
      </c>
      <c r="C82" s="35" t="s">
        <v>435</v>
      </c>
      <c r="D82" s="45">
        <f>EVEN(D80/A82)</f>
        <v>0</v>
      </c>
      <c r="E82" s="46">
        <f>IF(ROUNDUP(E80/A82,0)&lt;3,3,ROUNDUP(E80/A82,0))</f>
        <v>3</v>
      </c>
      <c r="F82" s="47">
        <f>IF(ROUNDUP(F80/A82,0)&lt;4,4,ROUNDUP(F80/A82,0))</f>
        <v>4</v>
      </c>
      <c r="G82" s="69">
        <f>EVEN(G80/A82)</f>
        <v>0</v>
      </c>
      <c r="H82" s="35">
        <v>75</v>
      </c>
      <c r="I82" s="35" t="s">
        <v>6</v>
      </c>
      <c r="J82" s="35" t="s">
        <v>435</v>
      </c>
      <c r="K82" s="502">
        <f>EVEN(K80/H82)</f>
        <v>18</v>
      </c>
      <c r="L82" s="46">
        <f>IF(ROUNDUP(L80/H82,0)&lt;3,3,ROUNDUP(L80/H82,0))</f>
        <v>33</v>
      </c>
      <c r="M82" s="47">
        <f>IF(ROUNDUP(M80/H82,0)&lt;4,4,ROUNDUP(M80/H82,0))</f>
        <v>49</v>
      </c>
      <c r="N82" s="69">
        <f>EVEN(N80/H82)</f>
        <v>18</v>
      </c>
      <c r="O82" t="s">
        <v>388</v>
      </c>
      <c r="P82" s="36" t="str">
        <f>LOOKUP(P81,$AA$23:$AA$29,$AC$23:$AC$29)</f>
        <v>Select One:</v>
      </c>
      <c r="U82" s="479"/>
      <c r="V82" s="479"/>
      <c r="AA82" s="479"/>
    </row>
    <row r="83" spans="1:27" s="5" customFormat="1" ht="12" hidden="1" customHeight="1">
      <c r="A83" s="35">
        <v>125</v>
      </c>
      <c r="B83" s="35" t="s">
        <v>6</v>
      </c>
      <c r="C83" s="35" t="s">
        <v>436</v>
      </c>
      <c r="D83" s="45">
        <f>EVEN(D80/A83)</f>
        <v>0</v>
      </c>
      <c r="E83" s="46">
        <f>IF(ROUNDUP(E80/A83,0)&lt;3,3,ROUNDUP(E80/A83,0))</f>
        <v>3</v>
      </c>
      <c r="F83" s="47">
        <f>IF(ROUNDUP(F80/A83,0)&lt;4,4,ROUNDUP(F80/A83,0))</f>
        <v>4</v>
      </c>
      <c r="G83" s="69">
        <f>EVEN(G80/A83)</f>
        <v>0</v>
      </c>
      <c r="H83" s="35">
        <v>125</v>
      </c>
      <c r="I83" s="35" t="s">
        <v>6</v>
      </c>
      <c r="J83" s="35" t="s">
        <v>436</v>
      </c>
      <c r="K83" s="502">
        <f>EVEN(K80/H83)</f>
        <v>10</v>
      </c>
      <c r="L83" s="46">
        <f>IF(ROUNDUP(L80/H83,0)&lt;3,3,ROUNDUP(L80/H83,0))</f>
        <v>20</v>
      </c>
      <c r="M83" s="47">
        <f>IF(ROUNDUP(M80/H83,0)&lt;4,4,ROUNDUP(M80/H83,0))</f>
        <v>30</v>
      </c>
      <c r="N83" s="69">
        <f>EVEN(N80/H83)</f>
        <v>10</v>
      </c>
      <c r="O83" t="s">
        <v>390</v>
      </c>
      <c r="P83" s="76">
        <f>R26</f>
        <v>1</v>
      </c>
      <c r="U83" s="479"/>
      <c r="V83" s="479"/>
      <c r="AA83" s="479"/>
    </row>
    <row r="84" spans="1:27" s="5" customFormat="1" ht="12" hidden="1" customHeight="1">
      <c r="A84" s="35">
        <v>140</v>
      </c>
      <c r="B84" s="35" t="s">
        <v>6</v>
      </c>
      <c r="C84" s="35" t="s">
        <v>437</v>
      </c>
      <c r="D84" s="45">
        <f>EVEN(D80/A84)</f>
        <v>0</v>
      </c>
      <c r="E84" s="46">
        <f>IF(ROUNDUP(E80/A84,0)&lt;3,3,ROUNDUP(E80/A84,0))</f>
        <v>3</v>
      </c>
      <c r="F84" s="47">
        <f>IF(ROUNDUP(F80/A84,0)&lt;4,4,ROUNDUP(F80/A84,0))</f>
        <v>4</v>
      </c>
      <c r="G84" s="69">
        <f>EVEN(G80/A84)</f>
        <v>0</v>
      </c>
      <c r="H84" s="35">
        <v>140</v>
      </c>
      <c r="I84" s="35" t="s">
        <v>6</v>
      </c>
      <c r="J84" s="35" t="s">
        <v>437</v>
      </c>
      <c r="K84" s="502">
        <f>EVEN(K80/H84)</f>
        <v>10</v>
      </c>
      <c r="L84" s="46">
        <f>IF(ROUNDUP(L80/H84,0)&lt;3,3,ROUNDUP(L80/H84,0))</f>
        <v>18</v>
      </c>
      <c r="M84" s="47">
        <f>IF(ROUNDUP(M80/H84,0)&lt;4,4,ROUNDUP(M80/H84,0))</f>
        <v>26</v>
      </c>
      <c r="N84" s="69">
        <f>EVEN(N80/H84)</f>
        <v>10</v>
      </c>
      <c r="O84" t="s">
        <v>392</v>
      </c>
      <c r="P84" s="36" t="str">
        <f>IF(OR(P81=1,P80=0),"N/A",LOOKUP(P83,$X$24:$X$27,$Z$24:$Z$27)*P80*P82)</f>
        <v>N/A</v>
      </c>
      <c r="U84" s="479"/>
      <c r="V84" s="479"/>
      <c r="AA84" s="479"/>
    </row>
    <row r="85" spans="1:27" s="5" customFormat="1" ht="12" hidden="1" customHeight="1">
      <c r="A85" s="35">
        <v>180</v>
      </c>
      <c r="B85" s="35" t="s">
        <v>6</v>
      </c>
      <c r="C85" s="35" t="s">
        <v>438</v>
      </c>
      <c r="D85" s="45">
        <f>EVEN(D80/A85)</f>
        <v>0</v>
      </c>
      <c r="E85" s="46">
        <f>IF(ROUNDUP(E80/A85,0)&lt;3,3,ROUNDUP(E80/A85,0))</f>
        <v>3</v>
      </c>
      <c r="F85" s="47">
        <f>IF(ROUNDUP(F80/A85,0)&lt;4,4,ROUNDUP(F80/A85,0))</f>
        <v>4</v>
      </c>
      <c r="G85" s="69">
        <f>EVEN(G80/A85)</f>
        <v>0</v>
      </c>
      <c r="H85" s="35">
        <v>180</v>
      </c>
      <c r="I85" s="35" t="s">
        <v>6</v>
      </c>
      <c r="J85" s="35" t="s">
        <v>438</v>
      </c>
      <c r="K85" s="502">
        <f>EVEN(K80/H85)</f>
        <v>8</v>
      </c>
      <c r="L85" s="46">
        <f>IF(ROUNDUP(L80/H85,0)&lt;3,3,ROUNDUP(L80/H85,0))</f>
        <v>14</v>
      </c>
      <c r="M85" s="47">
        <f>IF(ROUNDUP(M80/H85,0)&lt;4,4,ROUNDUP(M80/H85,0))</f>
        <v>21</v>
      </c>
      <c r="N85" s="69">
        <f>EVEN(N80/H85)</f>
        <v>8</v>
      </c>
      <c r="O85" t="s">
        <v>394</v>
      </c>
      <c r="P85" s="21" t="str">
        <f>IF(P84="N/A","N/A",IF(HLOOKUP($S$25,D79:G80,2)&lt;P84,"Yes","No"))</f>
        <v>N/A</v>
      </c>
      <c r="U85" s="479"/>
      <c r="V85" s="479"/>
      <c r="AA85" s="479"/>
    </row>
    <row r="86" spans="1:27" s="5" customFormat="1" ht="12" hidden="1" customHeight="1">
      <c r="A86" s="35">
        <v>185</v>
      </c>
      <c r="B86" s="35" t="s">
        <v>6</v>
      </c>
      <c r="C86" s="35" t="s">
        <v>439</v>
      </c>
      <c r="D86" s="45">
        <f>EVEN(D80/A86)</f>
        <v>0</v>
      </c>
      <c r="E86" s="46">
        <f>IF(ROUNDUP(E80/A86,0)&lt;3,3,ROUNDUP(E80/A86,0))</f>
        <v>3</v>
      </c>
      <c r="F86" s="47">
        <f>IF(ROUNDUP(F80/A86,0)&lt;4,4,ROUNDUP(F80/A86,0))</f>
        <v>4</v>
      </c>
      <c r="G86" s="69">
        <f>EVEN(G80/A86)</f>
        <v>0</v>
      </c>
      <c r="H86" s="35">
        <v>185</v>
      </c>
      <c r="I86" s="35" t="s">
        <v>6</v>
      </c>
      <c r="J86" s="35" t="s">
        <v>439</v>
      </c>
      <c r="K86" s="502">
        <f>EVEN(K80/H86)</f>
        <v>8</v>
      </c>
      <c r="L86" s="46">
        <f>IF(ROUNDUP(L80/H86,0)&lt;3,3,ROUNDUP(L80/H86,0))</f>
        <v>14</v>
      </c>
      <c r="M86" s="47">
        <f>IF(ROUNDUP(M80/H86,0)&lt;4,4,ROUNDUP(M80/H86,0))</f>
        <v>20</v>
      </c>
      <c r="N86" s="69">
        <f>EVEN(N80/H86)</f>
        <v>8</v>
      </c>
      <c r="O86" s="21" t="s">
        <v>456</v>
      </c>
      <c r="P86" s="21" t="str">
        <f>IF(P84="N/A","N/A",IF(HLOOKUP($S$26,K79:N80,2)&lt;P84,"Yes","No"))</f>
        <v>N/A</v>
      </c>
      <c r="U86" s="479"/>
      <c r="V86" s="479"/>
      <c r="AA86" s="479"/>
    </row>
    <row r="87" spans="1:27" s="5" customFormat="1" ht="12" hidden="1" customHeight="1">
      <c r="A87" s="35">
        <v>1800</v>
      </c>
      <c r="B87" s="35" t="s">
        <v>6</v>
      </c>
      <c r="C87" s="35" t="s">
        <v>391</v>
      </c>
      <c r="D87" s="49">
        <f>EVEN(D80/A87)</f>
        <v>0</v>
      </c>
      <c r="E87" s="50">
        <f>IF(ROUNDUP(E80/A87,0)&lt;3,3,ROUNDUP(E80/A87,0))</f>
        <v>3</v>
      </c>
      <c r="F87" s="51">
        <f>IF(ROUNDUP(F80/A87,0)&lt;4,4,ROUNDUP(F80/A87,0))</f>
        <v>4</v>
      </c>
      <c r="G87" s="70">
        <f>EVEN(G80/A87)</f>
        <v>0</v>
      </c>
      <c r="H87" s="35">
        <v>1800</v>
      </c>
      <c r="I87" s="35" t="s">
        <v>6</v>
      </c>
      <c r="J87" s="35" t="s">
        <v>391</v>
      </c>
      <c r="K87" s="503">
        <f>EVEN(K80/H87)</f>
        <v>2</v>
      </c>
      <c r="L87" s="50">
        <f>IF(ROUNDUP(L80/H87,0)&lt;3,3,ROUNDUP(L80/H87,0))</f>
        <v>3</v>
      </c>
      <c r="M87" s="51">
        <f>IF(ROUNDUP(M80/H87,0)&lt;4,4,ROUNDUP(M80/H87,0))</f>
        <v>4</v>
      </c>
      <c r="N87" s="70">
        <f>EVEN(N80/H87)</f>
        <v>2</v>
      </c>
      <c r="O87" s="48" t="s">
        <v>457</v>
      </c>
      <c r="U87" s="479"/>
      <c r="V87" s="479"/>
      <c r="AA87" s="479"/>
    </row>
    <row r="88" spans="1:27" s="5" customFormat="1" ht="12" hidden="1" customHeight="1">
      <c r="K88" s="499"/>
      <c r="M88" s="12"/>
      <c r="U88" s="479"/>
      <c r="V88" s="479"/>
      <c r="AA88" s="479"/>
    </row>
    <row r="89" spans="1:27" s="5" customFormat="1" ht="14.25" hidden="1" customHeight="1">
      <c r="A89" s="77" t="s">
        <v>422</v>
      </c>
      <c r="H89" s="77" t="s">
        <v>423</v>
      </c>
      <c r="K89" s="499"/>
      <c r="M89" s="12"/>
      <c r="U89" s="479"/>
      <c r="V89" s="479"/>
      <c r="AA89" s="479"/>
    </row>
    <row r="90" spans="1:27" s="5" customFormat="1" ht="17.25" hidden="1" customHeight="1">
      <c r="A90" s="35" t="s">
        <v>384</v>
      </c>
      <c r="B90" s="35"/>
      <c r="C90" s="63">
        <f>$Q$4*SUM(U37,U43)*V27/(8*60*60)+$Q$4*SUM(V37,V43)*V28/(8*60*60)</f>
        <v>0</v>
      </c>
      <c r="D90" s="21"/>
      <c r="E90" s="35"/>
      <c r="F90" s="35"/>
      <c r="H90" s="35" t="s">
        <v>384</v>
      </c>
      <c r="I90" s="35"/>
      <c r="J90" s="65">
        <f>$Q$7*($Q$4*SUM(U37,U43)*V27/(8*60*60)+SUM(U37,U43)*U27/(60*'Clinical Info'!$H$14))+$Q$7*($Q$4*SUM(V37,V43)*V28/(8*60*60)+SUM(V37,V43)*U28/(60*'Clinical Info'!$H$14))</f>
        <v>261.33586534159258</v>
      </c>
      <c r="K90" s="22"/>
      <c r="L90" s="35"/>
      <c r="M90" s="35"/>
      <c r="U90" s="479"/>
      <c r="V90" s="479"/>
      <c r="AA90" s="479"/>
    </row>
    <row r="91" spans="1:27" s="5" customFormat="1" ht="12" hidden="1" customHeight="1">
      <c r="A91" s="35" t="s">
        <v>387</v>
      </c>
      <c r="B91" s="35"/>
      <c r="C91" s="63">
        <f>IF(OR(C90=0,ISBLANK(C90)),0,100*($Q$4*SUM(U37,U43)*V27/(8*60*60))/C90)</f>
        <v>0</v>
      </c>
      <c r="D91" s="21"/>
      <c r="E91" s="35"/>
      <c r="F91" s="35"/>
      <c r="H91" s="35" t="s">
        <v>387</v>
      </c>
      <c r="I91" s="35"/>
      <c r="J91" s="63">
        <f>IF(OR(J90=0,ISBLANK(J90)),0,100*$Q$7*($Q$4*SUM(U37,U43)*V27/(8*60*60)+SUM(U37,U43)*U27/(60*'Clinical Info'!$H$14))/J90)</f>
        <v>24.498120356579165</v>
      </c>
      <c r="K91" s="22"/>
      <c r="L91" s="35"/>
      <c r="M91" s="35"/>
      <c r="U91" s="479"/>
      <c r="V91" s="479"/>
      <c r="AA91" s="479"/>
    </row>
    <row r="92" spans="1:27" s="5" customFormat="1" ht="17.25" hidden="1" customHeight="1">
      <c r="A92" s="35" t="s">
        <v>389</v>
      </c>
      <c r="B92" s="35"/>
      <c r="C92" s="64">
        <f>100-C91</f>
        <v>100</v>
      </c>
      <c r="D92" s="21"/>
      <c r="E92" s="35"/>
      <c r="F92" s="35"/>
      <c r="H92" s="35" t="s">
        <v>389</v>
      </c>
      <c r="I92" s="35"/>
      <c r="J92" s="64">
        <f>100-J91</f>
        <v>75.501879643420835</v>
      </c>
      <c r="K92" s="22"/>
      <c r="L92" s="35"/>
      <c r="M92" s="35"/>
      <c r="P92" s="34"/>
      <c r="U92" s="479"/>
      <c r="V92" s="479"/>
      <c r="AA92" s="479"/>
    </row>
    <row r="93" spans="1:27" s="5" customFormat="1" ht="21.75" hidden="1" customHeight="1">
      <c r="A93" s="37" t="s">
        <v>393</v>
      </c>
      <c r="B93" s="37"/>
      <c r="C93" s="38"/>
      <c r="D93" s="39">
        <v>1</v>
      </c>
      <c r="E93" s="40">
        <v>5</v>
      </c>
      <c r="F93" s="41">
        <v>6</v>
      </c>
      <c r="G93" s="67">
        <v>10</v>
      </c>
      <c r="H93" s="37" t="s">
        <v>393</v>
      </c>
      <c r="I93" s="37"/>
      <c r="J93" s="38"/>
      <c r="K93" s="500">
        <v>1</v>
      </c>
      <c r="L93" s="40">
        <v>5</v>
      </c>
      <c r="M93" s="41">
        <v>6</v>
      </c>
      <c r="N93" s="67">
        <v>10</v>
      </c>
      <c r="O93" s="34" t="s">
        <v>383</v>
      </c>
      <c r="P93"/>
      <c r="U93" s="479"/>
      <c r="V93" s="479"/>
      <c r="AA93" s="479"/>
    </row>
    <row r="94" spans="1:27" s="5" customFormat="1" ht="12" hidden="1" customHeight="1">
      <c r="A94" s="37" t="s">
        <v>395</v>
      </c>
      <c r="B94" s="37"/>
      <c r="C94" s="38"/>
      <c r="D94" s="42">
        <f>(C90*C91/100)+(C90*C92/100*2)</f>
        <v>0</v>
      </c>
      <c r="E94" s="43">
        <f>(C90*C91/100)+(C90*C92/100*4)</f>
        <v>0</v>
      </c>
      <c r="F94" s="44">
        <f>(C90*C91/100)+(C90*C92/100*6)</f>
        <v>0</v>
      </c>
      <c r="G94" s="68">
        <f>(C90*C91/100)+(C90*C92/100*2)</f>
        <v>0</v>
      </c>
      <c r="H94" s="37" t="s">
        <v>395</v>
      </c>
      <c r="I94" s="37"/>
      <c r="J94" s="38"/>
      <c r="K94" s="501">
        <f>(J90*J91/100)+(J90*J92/100*2)</f>
        <v>458.64935585689415</v>
      </c>
      <c r="L94" s="43">
        <f>(J90*J91/100)+(J90*J92/100*4)</f>
        <v>853.27633688749734</v>
      </c>
      <c r="M94" s="44">
        <f>(J90*J91/100)+(J90*J92/100*6)</f>
        <v>1247.9033179181006</v>
      </c>
      <c r="N94" s="68">
        <f>(J90*J91/100)+(J90*J92/100*2)</f>
        <v>458.64935585689415</v>
      </c>
      <c r="O94" s="30" t="s">
        <v>385</v>
      </c>
      <c r="P94" s="1">
        <f>L27</f>
        <v>0</v>
      </c>
      <c r="U94" s="479"/>
      <c r="V94" s="479"/>
      <c r="AA94" s="479"/>
    </row>
    <row r="95" spans="1:27" s="5" customFormat="1" ht="12" hidden="1" customHeight="1">
      <c r="A95" s="35" t="s">
        <v>396</v>
      </c>
      <c r="B95" s="35"/>
      <c r="C95" s="35"/>
      <c r="D95" s="45"/>
      <c r="E95" s="46"/>
      <c r="F95" s="47"/>
      <c r="G95" s="69"/>
      <c r="H95" s="35" t="s">
        <v>396</v>
      </c>
      <c r="I95" s="35"/>
      <c r="J95" s="35"/>
      <c r="K95" s="502"/>
      <c r="L95" s="46"/>
      <c r="M95" s="47"/>
      <c r="N95" s="69"/>
      <c r="O95" t="s">
        <v>386</v>
      </c>
      <c r="P95" s="76">
        <f>P27</f>
        <v>1</v>
      </c>
      <c r="U95" s="479"/>
      <c r="V95" s="479"/>
      <c r="AA95" s="479"/>
    </row>
    <row r="96" spans="1:27" s="5" customFormat="1" ht="12" hidden="1" customHeight="1">
      <c r="A96" s="35">
        <v>75</v>
      </c>
      <c r="B96" s="35" t="s">
        <v>6</v>
      </c>
      <c r="C96" s="35" t="s">
        <v>435</v>
      </c>
      <c r="D96" s="45">
        <f>EVEN(D94/A96)</f>
        <v>0</v>
      </c>
      <c r="E96" s="46">
        <f>IF(ROUNDUP(E94/A96,0)&lt;3,3,ROUNDUP(E94/A96,0))</f>
        <v>3</v>
      </c>
      <c r="F96" s="47">
        <f>IF(ROUNDUP(F94/A96,0)&lt;4,4,ROUNDUP(F94/A96,0))</f>
        <v>4</v>
      </c>
      <c r="G96" s="69">
        <f>EVEN(G94/A96)</f>
        <v>0</v>
      </c>
      <c r="H96" s="35">
        <v>75</v>
      </c>
      <c r="I96" s="35" t="s">
        <v>6</v>
      </c>
      <c r="J96" s="35" t="s">
        <v>435</v>
      </c>
      <c r="K96" s="502">
        <f>EVEN(K94/H96)</f>
        <v>8</v>
      </c>
      <c r="L96" s="46">
        <f>IF(ROUNDUP(L94/H96,0)&lt;3,3,ROUNDUP(L94/H96,0))</f>
        <v>12</v>
      </c>
      <c r="M96" s="47">
        <f>IF(ROUNDUP(M94/H96,0)&lt;4,4,ROUNDUP(M94/H96,0))</f>
        <v>17</v>
      </c>
      <c r="N96" s="69">
        <f>EVEN(N94/H96)</f>
        <v>8</v>
      </c>
      <c r="O96" t="s">
        <v>388</v>
      </c>
      <c r="P96" s="36" t="str">
        <f>LOOKUP(P95,$AA$23:$AA$29,$AC$23:$AC$29)</f>
        <v>Select One:</v>
      </c>
      <c r="U96" s="479"/>
      <c r="V96" s="479"/>
      <c r="AA96" s="479"/>
    </row>
    <row r="97" spans="1:27" s="5" customFormat="1" ht="12" hidden="1" customHeight="1">
      <c r="A97" s="35">
        <v>125</v>
      </c>
      <c r="B97" s="35" t="s">
        <v>6</v>
      </c>
      <c r="C97" s="35" t="s">
        <v>436</v>
      </c>
      <c r="D97" s="45">
        <f>EVEN(D94/A97)</f>
        <v>0</v>
      </c>
      <c r="E97" s="46">
        <f>IF(ROUNDUP(E94/A97,0)&lt;3,3,ROUNDUP(E94/A97,0))</f>
        <v>3</v>
      </c>
      <c r="F97" s="47">
        <f>IF(ROUNDUP(F94/A97,0)&lt;4,4,ROUNDUP(F94/A97,0))</f>
        <v>4</v>
      </c>
      <c r="G97" s="69">
        <f>EVEN(G94/A97)</f>
        <v>0</v>
      </c>
      <c r="H97" s="35">
        <v>125</v>
      </c>
      <c r="I97" s="35" t="s">
        <v>6</v>
      </c>
      <c r="J97" s="35" t="s">
        <v>436</v>
      </c>
      <c r="K97" s="502">
        <f>EVEN(K94/H97)</f>
        <v>4</v>
      </c>
      <c r="L97" s="46">
        <f>IF(ROUNDUP(L94/H97,0)&lt;3,3,ROUNDUP(L94/H97,0))</f>
        <v>7</v>
      </c>
      <c r="M97" s="47">
        <f>IF(ROUNDUP(M94/H97,0)&lt;4,4,ROUNDUP(M94/H97,0))</f>
        <v>10</v>
      </c>
      <c r="N97" s="69">
        <f>EVEN(N94/H97)</f>
        <v>4</v>
      </c>
      <c r="O97" t="s">
        <v>390</v>
      </c>
      <c r="P97" s="76">
        <f>R27</f>
        <v>1</v>
      </c>
      <c r="U97" s="479"/>
      <c r="V97" s="479"/>
      <c r="AA97" s="479"/>
    </row>
    <row r="98" spans="1:27" s="5" customFormat="1" ht="12" hidden="1" customHeight="1">
      <c r="A98" s="35">
        <v>140</v>
      </c>
      <c r="B98" s="35" t="s">
        <v>6</v>
      </c>
      <c r="C98" s="35" t="s">
        <v>437</v>
      </c>
      <c r="D98" s="45">
        <f>EVEN(D94/A98)</f>
        <v>0</v>
      </c>
      <c r="E98" s="46">
        <f>IF(ROUNDUP(E94/A98,0)&lt;3,3,ROUNDUP(E94/A98,0))</f>
        <v>3</v>
      </c>
      <c r="F98" s="47">
        <f>IF(ROUNDUP(F94/A98,0)&lt;4,4,ROUNDUP(F94/A98,0))</f>
        <v>4</v>
      </c>
      <c r="G98" s="69">
        <f>EVEN(G94/A98)</f>
        <v>0</v>
      </c>
      <c r="H98" s="35">
        <v>140</v>
      </c>
      <c r="I98" s="35" t="s">
        <v>6</v>
      </c>
      <c r="J98" s="35" t="s">
        <v>437</v>
      </c>
      <c r="K98" s="502">
        <f>EVEN(K94/H98)</f>
        <v>4</v>
      </c>
      <c r="L98" s="46">
        <f>IF(ROUNDUP(L94/H98,0)&lt;3,3,ROUNDUP(L94/H98,0))</f>
        <v>7</v>
      </c>
      <c r="M98" s="47">
        <f>IF(ROUNDUP(M94/H98,0)&lt;4,4,ROUNDUP(M94/H98,0))</f>
        <v>9</v>
      </c>
      <c r="N98" s="69">
        <f>EVEN(N94/H98)</f>
        <v>4</v>
      </c>
      <c r="O98" t="s">
        <v>392</v>
      </c>
      <c r="P98" s="36" t="str">
        <f>IF(OR(P95=1,P94=0),"N/A",LOOKUP(P97,$X$24:$X$27,$Z$24:$Z$27)*P94*P96)</f>
        <v>N/A</v>
      </c>
      <c r="U98" s="479"/>
      <c r="V98" s="479"/>
      <c r="AA98" s="479"/>
    </row>
    <row r="99" spans="1:27" s="5" customFormat="1" ht="12" hidden="1" customHeight="1">
      <c r="A99" s="35">
        <v>180</v>
      </c>
      <c r="B99" s="35" t="s">
        <v>6</v>
      </c>
      <c r="C99" s="35" t="s">
        <v>438</v>
      </c>
      <c r="D99" s="45">
        <f>EVEN(D94/A99)</f>
        <v>0</v>
      </c>
      <c r="E99" s="46">
        <f>IF(ROUNDUP(E94/A99,0)&lt;3,3,ROUNDUP(E94/A99,0))</f>
        <v>3</v>
      </c>
      <c r="F99" s="47">
        <f>IF(ROUNDUP(F94/A99,0)&lt;4,4,ROUNDUP(F94/A99,0))</f>
        <v>4</v>
      </c>
      <c r="G99" s="69">
        <f>EVEN(G94/A99)</f>
        <v>0</v>
      </c>
      <c r="H99" s="35">
        <v>180</v>
      </c>
      <c r="I99" s="35" t="s">
        <v>6</v>
      </c>
      <c r="J99" s="35" t="s">
        <v>438</v>
      </c>
      <c r="K99" s="502">
        <f>EVEN(K94/H99)</f>
        <v>4</v>
      </c>
      <c r="L99" s="46">
        <f>IF(ROUNDUP(L94/H99,0)&lt;3,3,ROUNDUP(L94/H99,0))</f>
        <v>5</v>
      </c>
      <c r="M99" s="47">
        <f>IF(ROUNDUP(M94/H99,0)&lt;4,4,ROUNDUP(M94/H99,0))</f>
        <v>7</v>
      </c>
      <c r="N99" s="69">
        <f>EVEN(N94/H99)</f>
        <v>4</v>
      </c>
      <c r="O99" t="s">
        <v>394</v>
      </c>
      <c r="P99" s="21" t="str">
        <f>IF(P98="N/A","N/A",IF(HLOOKUP($S$25,D93:G94,2)&lt;P98,"Yes","No"))</f>
        <v>N/A</v>
      </c>
      <c r="U99" s="479"/>
      <c r="V99" s="479"/>
      <c r="AA99" s="479"/>
    </row>
    <row r="100" spans="1:27" s="5" customFormat="1" ht="12" hidden="1" customHeight="1">
      <c r="A100" s="35">
        <v>185</v>
      </c>
      <c r="B100" s="35" t="s">
        <v>6</v>
      </c>
      <c r="C100" s="35" t="s">
        <v>439</v>
      </c>
      <c r="D100" s="45">
        <f>EVEN(D94/A100)</f>
        <v>0</v>
      </c>
      <c r="E100" s="46">
        <f>IF(ROUNDUP(E94/A100,0)&lt;3,3,ROUNDUP(E94/A100,0))</f>
        <v>3</v>
      </c>
      <c r="F100" s="47">
        <f>IF(ROUNDUP(F94/A100,0)&lt;4,4,ROUNDUP(F94/A100,0))</f>
        <v>4</v>
      </c>
      <c r="G100" s="69">
        <f>EVEN(G94/A100)</f>
        <v>0</v>
      </c>
      <c r="H100" s="35">
        <v>185</v>
      </c>
      <c r="I100" s="35" t="s">
        <v>6</v>
      </c>
      <c r="J100" s="35" t="s">
        <v>439</v>
      </c>
      <c r="K100" s="502">
        <f>EVEN(K94/H100)</f>
        <v>4</v>
      </c>
      <c r="L100" s="46">
        <f>IF(ROUNDUP(L94/H100,0)&lt;3,3,ROUNDUP(L94/H100,0))</f>
        <v>5</v>
      </c>
      <c r="M100" s="47">
        <f>IF(ROUNDUP(M94/H100,0)&lt;4,4,ROUNDUP(M94/H100,0))</f>
        <v>7</v>
      </c>
      <c r="N100" s="69">
        <f>EVEN(N94/H100)</f>
        <v>4</v>
      </c>
      <c r="O100" s="21" t="s">
        <v>456</v>
      </c>
      <c r="P100" s="21" t="str">
        <f>IF(P98="N/A","N/A",IF(HLOOKUP($S$26,K93:N94,2)&lt;P98,"Yes","No"))</f>
        <v>N/A</v>
      </c>
      <c r="U100" s="479"/>
      <c r="V100" s="479"/>
      <c r="AA100" s="479"/>
    </row>
    <row r="101" spans="1:27" s="5" customFormat="1" ht="12" hidden="1" customHeight="1">
      <c r="A101" s="35">
        <v>1800</v>
      </c>
      <c r="B101" s="35" t="s">
        <v>6</v>
      </c>
      <c r="C101" s="35" t="s">
        <v>391</v>
      </c>
      <c r="D101" s="49">
        <f>EVEN(D94/A101)</f>
        <v>0</v>
      </c>
      <c r="E101" s="50">
        <f>IF(ROUNDUP(E94/A101,0)&lt;3,3,ROUNDUP(E94/A101,0))</f>
        <v>3</v>
      </c>
      <c r="F101" s="51">
        <f>IF(ROUNDUP(F94/A101,0)&lt;4,4,ROUNDUP(F94/A101,0))</f>
        <v>4</v>
      </c>
      <c r="G101" s="70">
        <f>EVEN(G94/A101)</f>
        <v>0</v>
      </c>
      <c r="H101" s="35">
        <v>1800</v>
      </c>
      <c r="I101" s="35" t="s">
        <v>6</v>
      </c>
      <c r="J101" s="35" t="s">
        <v>391</v>
      </c>
      <c r="K101" s="503">
        <f>EVEN(K94/H101)</f>
        <v>2</v>
      </c>
      <c r="L101" s="50">
        <f>IF(ROUNDUP(L94/H101,0)&lt;3,3,ROUNDUP(L94/H101,0))</f>
        <v>3</v>
      </c>
      <c r="M101" s="51">
        <f>IF(ROUNDUP(M94/H101,0)&lt;4,4,ROUNDUP(M94/H101,0))</f>
        <v>4</v>
      </c>
      <c r="N101" s="70">
        <f>EVEN(N94/H101)</f>
        <v>2</v>
      </c>
      <c r="O101" s="48" t="s">
        <v>457</v>
      </c>
      <c r="U101" s="479"/>
      <c r="V101" s="479"/>
      <c r="AA101" s="479"/>
    </row>
    <row r="102" spans="1:27" s="5" customFormat="1" ht="12" hidden="1" customHeight="1">
      <c r="K102" s="499"/>
      <c r="M102" s="12"/>
      <c r="N102" s="12"/>
      <c r="U102" s="479"/>
      <c r="V102" s="479"/>
      <c r="AA102" s="479"/>
    </row>
    <row r="103" spans="1:27" s="5" customFormat="1" ht="12" hidden="1" customHeight="1">
      <c r="A103" s="77" t="s">
        <v>462</v>
      </c>
      <c r="H103" s="77" t="s">
        <v>463</v>
      </c>
      <c r="K103" s="499"/>
      <c r="M103" s="12"/>
      <c r="U103" s="479"/>
      <c r="V103" s="479"/>
      <c r="AA103" s="479"/>
    </row>
    <row r="104" spans="1:27" s="5" customFormat="1" ht="18.75" hidden="1" customHeight="1">
      <c r="A104" s="35" t="s">
        <v>384</v>
      </c>
      <c r="B104" s="35"/>
      <c r="C104" s="63">
        <f>E25+F25+$Q$4*SUM(U37,U43)*V27/(8*60*60)+$Q$4*SUM(V37,V43)*V28/(8*60*60)</f>
        <v>0</v>
      </c>
      <c r="D104" s="21"/>
      <c r="E104" s="35"/>
      <c r="F104" s="35"/>
      <c r="H104" s="35" t="s">
        <v>384</v>
      </c>
      <c r="I104" s="35"/>
      <c r="J104" s="65">
        <f>P35+Q35+$Q$7*($Q$4*SUM(U37,U43)*V27/(8*60*60)+SUM(U37,U43)*U27/(60*'Clinical Info'!$H$14))+$Q$7*($Q$4*SUM(V37,V43)*V28/(8*60*60)+SUM(V37,V43)*U28/(60*'Clinical Info'!$H$14))</f>
        <v>718.22978037829955</v>
      </c>
      <c r="K104" s="22"/>
      <c r="L104" s="35"/>
      <c r="M104" s="35"/>
      <c r="U104" s="479"/>
      <c r="V104" s="479"/>
      <c r="AA104" s="479"/>
    </row>
    <row r="105" spans="1:27" s="5" customFormat="1" ht="12" hidden="1" customHeight="1">
      <c r="A105" s="35" t="s">
        <v>387</v>
      </c>
      <c r="B105" s="35"/>
      <c r="C105" s="63">
        <f>IF(OR(C104=0,ISBLANK(C104)),0,100*(E25+$Q$4*SUM(U37,U43)*V27/(8*60*60))/C104)</f>
        <v>0</v>
      </c>
      <c r="D105" s="21"/>
      <c r="E105" s="35"/>
      <c r="F105" s="35"/>
      <c r="H105" s="35" t="s">
        <v>387</v>
      </c>
      <c r="I105" s="35"/>
      <c r="J105" s="63">
        <f>IF(OR(J104=0,ISBLANK(J104)),0,100*(P35+$Q$7*($Q$4*SUM(U37,U43)*V27/(8*60*60)+SUM(U37,U43)*U27/(60*'Clinical Info'!$H$14)))/J104)</f>
        <v>45.067533150372242</v>
      </c>
      <c r="K105" s="22"/>
      <c r="L105" s="35"/>
      <c r="M105" s="35"/>
      <c r="U105" s="479"/>
      <c r="V105" s="479"/>
      <c r="AA105" s="479"/>
    </row>
    <row r="106" spans="1:27" s="5" customFormat="1" ht="18" hidden="1" customHeight="1">
      <c r="A106" s="35" t="s">
        <v>389</v>
      </c>
      <c r="B106" s="35"/>
      <c r="C106" s="64">
        <f>100-C105</f>
        <v>100</v>
      </c>
      <c r="D106" s="21"/>
      <c r="E106" s="35"/>
      <c r="F106" s="35"/>
      <c r="H106" s="35" t="s">
        <v>389</v>
      </c>
      <c r="I106" s="35"/>
      <c r="J106" s="64">
        <f>100-J105</f>
        <v>54.932466849627758</v>
      </c>
      <c r="K106" s="22"/>
      <c r="L106" s="35"/>
      <c r="M106" s="35"/>
      <c r="P106" s="34"/>
      <c r="U106" s="479"/>
      <c r="V106" s="479"/>
      <c r="AA106" s="479"/>
    </row>
    <row r="107" spans="1:27" s="5" customFormat="1" ht="17.25" hidden="1" customHeight="1">
      <c r="A107" s="37" t="s">
        <v>393</v>
      </c>
      <c r="B107" s="37"/>
      <c r="C107" s="38"/>
      <c r="D107" s="39">
        <v>1</v>
      </c>
      <c r="E107" s="40">
        <v>5</v>
      </c>
      <c r="F107" s="41">
        <v>6</v>
      </c>
      <c r="G107" s="67">
        <v>10</v>
      </c>
      <c r="H107" s="37" t="s">
        <v>393</v>
      </c>
      <c r="I107" s="37"/>
      <c r="J107" s="38"/>
      <c r="K107" s="500">
        <v>1</v>
      </c>
      <c r="L107" s="40">
        <v>5</v>
      </c>
      <c r="M107" s="41">
        <v>6</v>
      </c>
      <c r="N107" s="67">
        <v>10</v>
      </c>
      <c r="O107" s="34" t="s">
        <v>383</v>
      </c>
      <c r="P107"/>
      <c r="U107" s="479"/>
      <c r="V107" s="479"/>
      <c r="AA107" s="479"/>
    </row>
    <row r="108" spans="1:27" s="5" customFormat="1" ht="12" hidden="1" customHeight="1">
      <c r="A108" s="37" t="s">
        <v>395</v>
      </c>
      <c r="B108" s="37"/>
      <c r="C108" s="38"/>
      <c r="D108" s="42">
        <f>(C104*C105/100)+(C104*C106/100*2)</f>
        <v>0</v>
      </c>
      <c r="E108" s="43">
        <f>(C104*C105/100)+(C104*C106/100*4)</f>
        <v>0</v>
      </c>
      <c r="F108" s="44">
        <f>(C104*C105/100)+(C104*C106/100*6)</f>
        <v>0</v>
      </c>
      <c r="G108" s="68">
        <f>(C104*C105/100)+(C104*C106/100*2)</f>
        <v>0</v>
      </c>
      <c r="H108" s="37" t="s">
        <v>395</v>
      </c>
      <c r="I108" s="37"/>
      <c r="J108" s="38"/>
      <c r="K108" s="501">
        <f>(J104*J105/100)+(J104*J106/100*2)</f>
        <v>1112.7711163887632</v>
      </c>
      <c r="L108" s="43">
        <f>(J104*J105/100)+(J104*J106/100*4)</f>
        <v>1901.8537884096904</v>
      </c>
      <c r="M108" s="44">
        <f>(J104*J105/100)+(J104*J106/100*6)</f>
        <v>2690.9364604306179</v>
      </c>
      <c r="N108" s="68">
        <f>(J104*J105/100)+(J104*J106/100*2)</f>
        <v>1112.7711163887632</v>
      </c>
      <c r="O108" s="30" t="s">
        <v>385</v>
      </c>
      <c r="P108" s="1">
        <f>L25</f>
        <v>0</v>
      </c>
      <c r="U108" s="479"/>
      <c r="V108" s="479"/>
      <c r="AA108" s="479"/>
    </row>
    <row r="109" spans="1:27" s="5" customFormat="1" ht="12" hidden="1" customHeight="1">
      <c r="A109" s="35" t="s">
        <v>396</v>
      </c>
      <c r="B109" s="35"/>
      <c r="C109" s="35"/>
      <c r="D109" s="45"/>
      <c r="E109" s="46"/>
      <c r="F109" s="47"/>
      <c r="G109" s="69"/>
      <c r="H109" s="35" t="s">
        <v>396</v>
      </c>
      <c r="I109" s="35"/>
      <c r="J109" s="35"/>
      <c r="K109" s="502"/>
      <c r="L109" s="46"/>
      <c r="M109" s="47"/>
      <c r="N109" s="69"/>
      <c r="O109" t="s">
        <v>386</v>
      </c>
      <c r="P109" s="76">
        <f>P25</f>
        <v>1</v>
      </c>
      <c r="U109" s="479"/>
      <c r="V109" s="479"/>
      <c r="AA109" s="479"/>
    </row>
    <row r="110" spans="1:27" s="5" customFormat="1" ht="12" hidden="1" customHeight="1">
      <c r="A110" s="35">
        <v>75</v>
      </c>
      <c r="B110" s="35" t="s">
        <v>6</v>
      </c>
      <c r="C110" s="35" t="s">
        <v>435</v>
      </c>
      <c r="D110" s="45">
        <f>EVEN(D108/A110)</f>
        <v>0</v>
      </c>
      <c r="E110" s="46">
        <f>IF(ROUNDUP(E108/A110,0)&lt;3,3,ROUNDUP(E108/A110,0))</f>
        <v>3</v>
      </c>
      <c r="F110" s="47">
        <f>IF(ROUNDUP(F108/A110,0)&lt;4,4,ROUNDUP(F108/A110,0))</f>
        <v>4</v>
      </c>
      <c r="G110" s="69">
        <f>EVEN(G108/A110)</f>
        <v>0</v>
      </c>
      <c r="H110" s="35">
        <v>75</v>
      </c>
      <c r="I110" s="35" t="s">
        <v>6</v>
      </c>
      <c r="J110" s="35" t="s">
        <v>435</v>
      </c>
      <c r="K110" s="502">
        <f>EVEN(K108/H110)</f>
        <v>16</v>
      </c>
      <c r="L110" s="46">
        <f>IF(ROUNDUP(L108/H110,0)&lt;3,3,ROUNDUP(L108/H110,0))</f>
        <v>26</v>
      </c>
      <c r="M110" s="47">
        <f>IF(ROUNDUP(M108/H110,0)&lt;4,4,ROUNDUP(M108/H110,0))</f>
        <v>36</v>
      </c>
      <c r="N110" s="69">
        <f>EVEN(N108/H110)</f>
        <v>16</v>
      </c>
      <c r="O110" t="s">
        <v>388</v>
      </c>
      <c r="P110" s="36" t="str">
        <f>LOOKUP(P109,$AA$23:$AA$29,$AC$23:$AC$29)</f>
        <v>Select One:</v>
      </c>
      <c r="U110" s="479"/>
      <c r="V110" s="479"/>
      <c r="AA110" s="479"/>
    </row>
    <row r="111" spans="1:27" s="5" customFormat="1" ht="12" hidden="1" customHeight="1">
      <c r="A111" s="35">
        <v>125</v>
      </c>
      <c r="B111" s="35" t="s">
        <v>6</v>
      </c>
      <c r="C111" s="35" t="s">
        <v>436</v>
      </c>
      <c r="D111" s="45">
        <f>EVEN(D108/A111)</f>
        <v>0</v>
      </c>
      <c r="E111" s="46">
        <f>IF(ROUNDUP(E108/A111,0)&lt;3,3,ROUNDUP(E108/A111,0))</f>
        <v>3</v>
      </c>
      <c r="F111" s="47">
        <f>IF(ROUNDUP(F108/A111,0)&lt;4,4,ROUNDUP(F108/A111,0))</f>
        <v>4</v>
      </c>
      <c r="G111" s="69">
        <f>EVEN(G108/A111)</f>
        <v>0</v>
      </c>
      <c r="H111" s="35">
        <v>125</v>
      </c>
      <c r="I111" s="35" t="s">
        <v>6</v>
      </c>
      <c r="J111" s="35" t="s">
        <v>436</v>
      </c>
      <c r="K111" s="502">
        <f>EVEN(K108/H111)</f>
        <v>10</v>
      </c>
      <c r="L111" s="46">
        <f>IF(ROUNDUP(L108/H111,0)&lt;3,3,ROUNDUP(L108/H111,0))</f>
        <v>16</v>
      </c>
      <c r="M111" s="47">
        <f>IF(ROUNDUP(M108/H111,0)&lt;4,4,ROUNDUP(M108/H111,0))</f>
        <v>22</v>
      </c>
      <c r="N111" s="69">
        <f>EVEN(N108/H111)</f>
        <v>10</v>
      </c>
      <c r="O111" t="s">
        <v>390</v>
      </c>
      <c r="P111" s="76">
        <f>R25</f>
        <v>1</v>
      </c>
      <c r="U111" s="479"/>
      <c r="V111" s="479"/>
      <c r="AA111" s="479"/>
    </row>
    <row r="112" spans="1:27" s="5" customFormat="1" ht="12" hidden="1" customHeight="1">
      <c r="A112" s="35">
        <v>140</v>
      </c>
      <c r="B112" s="35" t="s">
        <v>6</v>
      </c>
      <c r="C112" s="35" t="s">
        <v>437</v>
      </c>
      <c r="D112" s="45">
        <f>EVEN(D108/A112)</f>
        <v>0</v>
      </c>
      <c r="E112" s="46">
        <f>IF(ROUNDUP(E108/A112,0)&lt;3,3,ROUNDUP(E108/A112,0))</f>
        <v>3</v>
      </c>
      <c r="F112" s="47">
        <f>IF(ROUNDUP(F108/A112,0)&lt;4,4,ROUNDUP(F108/A112,0))</f>
        <v>4</v>
      </c>
      <c r="G112" s="69">
        <f>EVEN(G108/A112)</f>
        <v>0</v>
      </c>
      <c r="H112" s="35">
        <v>140</v>
      </c>
      <c r="I112" s="35" t="s">
        <v>6</v>
      </c>
      <c r="J112" s="35" t="s">
        <v>437</v>
      </c>
      <c r="K112" s="502">
        <f>EVEN(K108/H112)</f>
        <v>8</v>
      </c>
      <c r="L112" s="46">
        <f>IF(ROUNDUP(L108/H112,0)&lt;3,3,ROUNDUP(L108/H112,0))</f>
        <v>14</v>
      </c>
      <c r="M112" s="47">
        <f>IF(ROUNDUP(M108/H112,0)&lt;4,4,ROUNDUP(M108/H112,0))</f>
        <v>20</v>
      </c>
      <c r="N112" s="69">
        <f>EVEN(N108/H112)</f>
        <v>8</v>
      </c>
      <c r="O112" t="s">
        <v>392</v>
      </c>
      <c r="P112" s="36" t="str">
        <f>IF(OR(P109=1,P108=0),"N/A",LOOKUP(P111,$X$24:$X$27,$Z$24:$Z$27)*P108*P110)</f>
        <v>N/A</v>
      </c>
      <c r="U112" s="479"/>
      <c r="V112" s="479"/>
      <c r="AA112" s="479"/>
    </row>
    <row r="113" spans="1:27" s="5" customFormat="1" ht="12" hidden="1" customHeight="1">
      <c r="A113" s="35">
        <v>180</v>
      </c>
      <c r="B113" s="35" t="s">
        <v>6</v>
      </c>
      <c r="C113" s="35" t="s">
        <v>438</v>
      </c>
      <c r="D113" s="45">
        <f>EVEN(D108/A113)</f>
        <v>0</v>
      </c>
      <c r="E113" s="46">
        <f>IF(ROUNDUP(E108/A113,0)&lt;3,3,ROUNDUP(E108/A113,0))</f>
        <v>3</v>
      </c>
      <c r="F113" s="47">
        <f>IF(ROUNDUP(F108/A113,0)&lt;4,4,ROUNDUP(F108/A113,0))</f>
        <v>4</v>
      </c>
      <c r="G113" s="69">
        <f>EVEN(G108/A113)</f>
        <v>0</v>
      </c>
      <c r="H113" s="35">
        <v>180</v>
      </c>
      <c r="I113" s="35" t="s">
        <v>6</v>
      </c>
      <c r="J113" s="35" t="s">
        <v>438</v>
      </c>
      <c r="K113" s="502">
        <f>EVEN(K108/H113)</f>
        <v>8</v>
      </c>
      <c r="L113" s="46">
        <f>IF(ROUNDUP(L108/H113,0)&lt;3,3,ROUNDUP(L108/H113,0))</f>
        <v>11</v>
      </c>
      <c r="M113" s="47">
        <f>IF(ROUNDUP(M108/H113,0)&lt;4,4,ROUNDUP(M108/H113,0))</f>
        <v>15</v>
      </c>
      <c r="N113" s="69">
        <f>EVEN(N108/H113)</f>
        <v>8</v>
      </c>
      <c r="O113" t="s">
        <v>394</v>
      </c>
      <c r="P113" s="21" t="str">
        <f>IF(P112="N/A","N/A",IF(HLOOKUP($S$25,D107:G108,2)&lt;P112,"Yes","No"))</f>
        <v>N/A</v>
      </c>
      <c r="U113" s="479"/>
      <c r="V113" s="479"/>
      <c r="AA113" s="479"/>
    </row>
    <row r="114" spans="1:27" s="5" customFormat="1" ht="12" hidden="1" customHeight="1">
      <c r="A114" s="35">
        <v>185</v>
      </c>
      <c r="B114" s="35" t="s">
        <v>6</v>
      </c>
      <c r="C114" s="35" t="s">
        <v>439</v>
      </c>
      <c r="D114" s="45">
        <f>EVEN(D108/A114)</f>
        <v>0</v>
      </c>
      <c r="E114" s="46">
        <f>IF(ROUNDUP(E108/A114,0)&lt;3,3,ROUNDUP(E108/A114,0))</f>
        <v>3</v>
      </c>
      <c r="F114" s="47">
        <f>IF(ROUNDUP(F108/A114,0)&lt;4,4,ROUNDUP(F108/A114,0))</f>
        <v>4</v>
      </c>
      <c r="G114" s="69">
        <f>EVEN(G108/A114)</f>
        <v>0</v>
      </c>
      <c r="H114" s="35">
        <v>185</v>
      </c>
      <c r="I114" s="35" t="s">
        <v>6</v>
      </c>
      <c r="J114" s="35" t="s">
        <v>439</v>
      </c>
      <c r="K114" s="502">
        <f>EVEN(K108/H114)</f>
        <v>8</v>
      </c>
      <c r="L114" s="46">
        <f>IF(ROUNDUP(L108/H114,0)&lt;3,3,ROUNDUP(L108/H114,0))</f>
        <v>11</v>
      </c>
      <c r="M114" s="47">
        <f>IF(ROUNDUP(M108/H114,0)&lt;4,4,ROUNDUP(M108/H114,0))</f>
        <v>15</v>
      </c>
      <c r="N114" s="69">
        <f>EVEN(N108/H114)</f>
        <v>8</v>
      </c>
      <c r="O114" s="21" t="s">
        <v>456</v>
      </c>
      <c r="P114" s="21" t="str">
        <f>IF(P112="N/A","N/A",IF(HLOOKUP($S$26,K107:N108,2)&lt;P112,"Yes","No"))</f>
        <v>N/A</v>
      </c>
      <c r="U114" s="479"/>
      <c r="V114" s="479"/>
      <c r="AA114" s="479"/>
    </row>
    <row r="115" spans="1:27" s="5" customFormat="1" ht="12" hidden="1" customHeight="1">
      <c r="A115" s="35">
        <v>1800</v>
      </c>
      <c r="B115" s="35" t="s">
        <v>6</v>
      </c>
      <c r="C115" s="35" t="s">
        <v>391</v>
      </c>
      <c r="D115" s="49">
        <f>EVEN(D108/A115)</f>
        <v>0</v>
      </c>
      <c r="E115" s="50">
        <f>IF(ROUNDUP(E108/A115,0)&lt;3,3,ROUNDUP(E108/A115,0))</f>
        <v>3</v>
      </c>
      <c r="F115" s="51">
        <f>IF(ROUNDUP(F108/A115,0)&lt;4,4,ROUNDUP(F108/A115,0))</f>
        <v>4</v>
      </c>
      <c r="G115" s="70">
        <f>EVEN(G108/A115)</f>
        <v>0</v>
      </c>
      <c r="H115" s="35">
        <v>1800</v>
      </c>
      <c r="I115" s="35" t="s">
        <v>6</v>
      </c>
      <c r="J115" s="35" t="s">
        <v>391</v>
      </c>
      <c r="K115" s="503">
        <f>EVEN(K108/H115)</f>
        <v>2</v>
      </c>
      <c r="L115" s="50">
        <f>IF(ROUNDUP(L108/H115,0)&lt;3,3,ROUNDUP(L108/H115,0))</f>
        <v>3</v>
      </c>
      <c r="M115" s="51">
        <f>IF(ROUNDUP(M108/H115,0)&lt;4,4,ROUNDUP(M108/H115,0))</f>
        <v>4</v>
      </c>
      <c r="N115" s="70">
        <f>EVEN(N108/H115)</f>
        <v>2</v>
      </c>
      <c r="O115" s="48" t="s">
        <v>457</v>
      </c>
      <c r="U115" s="479"/>
      <c r="V115" s="479"/>
      <c r="AA115" s="479"/>
    </row>
    <row r="116" spans="1:27" s="5" customFormat="1" ht="12" hidden="1" customHeight="1">
      <c r="K116" s="499"/>
      <c r="M116" s="12"/>
      <c r="N116" s="12"/>
      <c r="U116" s="479"/>
      <c r="V116" s="479"/>
      <c r="AA116" s="479"/>
    </row>
    <row r="117" spans="1:27" s="5" customFormat="1" ht="12" hidden="1" customHeight="1">
      <c r="K117" s="499"/>
      <c r="M117" s="12"/>
      <c r="N117" s="12"/>
      <c r="U117" s="479"/>
      <c r="V117" s="479"/>
      <c r="AA117" s="479"/>
    </row>
    <row r="118" spans="1:27" s="5" customFormat="1" ht="12" hidden="1" customHeight="1">
      <c r="K118" s="499"/>
      <c r="M118" s="12"/>
      <c r="N118" s="12"/>
      <c r="U118" s="479"/>
      <c r="V118" s="479"/>
      <c r="AA118" s="479"/>
    </row>
    <row r="119" spans="1:27" s="5" customFormat="1" ht="12" hidden="1" customHeight="1">
      <c r="K119" s="499"/>
      <c r="M119" s="12"/>
      <c r="N119" s="12"/>
      <c r="U119" s="479"/>
      <c r="V119" s="479"/>
      <c r="AA119" s="479"/>
    </row>
    <row r="120" spans="1:27" s="5" customFormat="1" ht="12" hidden="1" customHeight="1">
      <c r="K120" s="499"/>
      <c r="M120" s="12"/>
      <c r="N120" s="12"/>
      <c r="U120" s="479"/>
      <c r="V120" s="479"/>
      <c r="AA120" s="479"/>
    </row>
    <row r="121" spans="1:27" s="5" customFormat="1" ht="12" hidden="1" customHeight="1">
      <c r="K121" s="499"/>
      <c r="M121" s="12"/>
      <c r="N121" s="12"/>
      <c r="U121" s="479"/>
      <c r="V121" s="479"/>
      <c r="AA121" s="479"/>
    </row>
    <row r="122" spans="1:27" s="5" customFormat="1" ht="12" hidden="1" customHeight="1">
      <c r="K122" s="499"/>
      <c r="M122" s="12"/>
      <c r="N122" s="12"/>
      <c r="U122" s="479"/>
      <c r="V122" s="479"/>
      <c r="AA122" s="479"/>
    </row>
    <row r="123" spans="1:27" s="5" customFormat="1" ht="12" hidden="1" customHeight="1">
      <c r="K123" s="499"/>
      <c r="M123" s="12"/>
      <c r="N123" s="12"/>
      <c r="U123" s="479"/>
      <c r="V123" s="479"/>
      <c r="AA123" s="479"/>
    </row>
    <row r="124" spans="1:27" s="5" customFormat="1" ht="12" hidden="1" customHeight="1">
      <c r="K124" s="499"/>
      <c r="M124" s="12"/>
      <c r="N124" s="12"/>
      <c r="U124" s="479"/>
      <c r="V124" s="479"/>
      <c r="AA124" s="479"/>
    </row>
    <row r="125" spans="1:27" s="5" customFormat="1" ht="12" hidden="1" customHeight="1">
      <c r="K125" s="499"/>
      <c r="M125" s="12"/>
      <c r="N125" s="12"/>
      <c r="U125" s="479"/>
      <c r="V125" s="479"/>
      <c r="AA125" s="479"/>
    </row>
    <row r="126" spans="1:27" s="5" customFormat="1" ht="12" hidden="1" customHeight="1">
      <c r="K126" s="499"/>
      <c r="M126" s="12"/>
      <c r="N126" s="12"/>
      <c r="U126" s="479"/>
      <c r="V126" s="479"/>
      <c r="AA126" s="479"/>
    </row>
    <row r="127" spans="1:27" s="5" customFormat="1" ht="12" hidden="1" customHeight="1">
      <c r="K127" s="499"/>
      <c r="M127" s="12"/>
      <c r="N127" s="12"/>
      <c r="U127" s="479"/>
      <c r="V127" s="479"/>
      <c r="AA127" s="479"/>
    </row>
    <row r="128" spans="1:27" s="5" customFormat="1" ht="12" hidden="1" customHeight="1">
      <c r="K128" s="499"/>
      <c r="M128" s="12"/>
      <c r="N128" s="12"/>
      <c r="U128" s="479"/>
      <c r="V128" s="479"/>
      <c r="AA128" s="479"/>
    </row>
    <row r="129" spans="11:27" s="5" customFormat="1" ht="12" hidden="1" customHeight="1">
      <c r="K129" s="499"/>
      <c r="M129" s="12"/>
      <c r="N129" s="12"/>
      <c r="U129" s="479"/>
      <c r="V129" s="479"/>
      <c r="AA129" s="479"/>
    </row>
    <row r="130" spans="11:27" s="5" customFormat="1" ht="12" hidden="1" customHeight="1">
      <c r="K130" s="499"/>
      <c r="M130" s="12"/>
      <c r="N130" s="12"/>
      <c r="U130" s="479"/>
      <c r="V130" s="479"/>
      <c r="AA130" s="479"/>
    </row>
    <row r="131" spans="11:27" s="5" customFormat="1" ht="12" hidden="1" customHeight="1">
      <c r="K131" s="499"/>
      <c r="M131" s="12"/>
      <c r="N131" s="12"/>
      <c r="U131" s="479"/>
      <c r="V131" s="479"/>
      <c r="AA131" s="479"/>
    </row>
    <row r="132" spans="11:27" s="5" customFormat="1" ht="12" hidden="1" customHeight="1">
      <c r="K132" s="499"/>
      <c r="M132" s="12"/>
      <c r="N132" s="12"/>
      <c r="U132" s="479"/>
      <c r="V132" s="479"/>
      <c r="AA132" s="479"/>
    </row>
    <row r="133" spans="11:27" s="5" customFormat="1" ht="12" hidden="1" customHeight="1">
      <c r="K133" s="499"/>
      <c r="M133" s="12"/>
      <c r="N133" s="12"/>
      <c r="U133" s="479"/>
      <c r="V133" s="479"/>
      <c r="AA133" s="479"/>
    </row>
    <row r="134" spans="11:27" s="5" customFormat="1" ht="12" hidden="1" customHeight="1">
      <c r="K134" s="499"/>
      <c r="M134" s="12"/>
      <c r="N134" s="12"/>
      <c r="U134" s="479"/>
      <c r="V134" s="479"/>
      <c r="AA134" s="479"/>
    </row>
    <row r="135" spans="11:27" s="5" customFormat="1" ht="12" hidden="1" customHeight="1">
      <c r="K135" s="499"/>
      <c r="M135" s="12"/>
      <c r="N135" s="12"/>
      <c r="U135" s="479"/>
      <c r="V135" s="479"/>
      <c r="AA135" s="479"/>
    </row>
    <row r="136" spans="11:27" s="5" customFormat="1" ht="12" hidden="1" customHeight="1">
      <c r="K136" s="499"/>
      <c r="M136" s="12"/>
      <c r="N136" s="12"/>
      <c r="U136" s="479"/>
      <c r="V136" s="479"/>
      <c r="AA136" s="479"/>
    </row>
    <row r="137" spans="11:27" s="5" customFormat="1" ht="12" hidden="1" customHeight="1">
      <c r="K137" s="499"/>
      <c r="M137" s="12"/>
      <c r="N137" s="12"/>
      <c r="U137" s="479"/>
      <c r="V137" s="479"/>
      <c r="AA137" s="479"/>
    </row>
    <row r="138" spans="11:27" s="5" customFormat="1" ht="12" hidden="1" customHeight="1">
      <c r="K138" s="499"/>
      <c r="M138" s="12"/>
      <c r="N138" s="12"/>
      <c r="U138" s="479"/>
      <c r="V138" s="479"/>
      <c r="AA138" s="479"/>
    </row>
    <row r="139" spans="11:27" s="5" customFormat="1" ht="12" hidden="1" customHeight="1">
      <c r="K139" s="499"/>
      <c r="M139" s="12"/>
      <c r="N139" s="12"/>
      <c r="U139" s="479"/>
      <c r="V139" s="479"/>
      <c r="AA139" s="479"/>
    </row>
    <row r="140" spans="11:27" s="5" customFormat="1" ht="12" hidden="1" customHeight="1">
      <c r="K140" s="499"/>
      <c r="M140" s="12"/>
      <c r="N140" s="12"/>
      <c r="U140" s="479"/>
      <c r="V140" s="479"/>
      <c r="AA140" s="479"/>
    </row>
    <row r="141" spans="11:27" s="5" customFormat="1" ht="12" hidden="1" customHeight="1">
      <c r="K141" s="499"/>
      <c r="M141" s="12"/>
      <c r="N141" s="12"/>
      <c r="U141" s="479"/>
      <c r="V141" s="479"/>
      <c r="AA141" s="479"/>
    </row>
    <row r="142" spans="11:27" s="5" customFormat="1" ht="12" hidden="1" customHeight="1">
      <c r="K142" s="499"/>
      <c r="M142" s="12"/>
      <c r="N142" s="12"/>
      <c r="U142" s="479"/>
      <c r="V142" s="479"/>
      <c r="AA142" s="479"/>
    </row>
    <row r="143" spans="11:27" s="5" customFormat="1" ht="12" hidden="1" customHeight="1">
      <c r="K143" s="499"/>
      <c r="M143" s="12"/>
      <c r="N143" s="12"/>
      <c r="U143" s="479"/>
      <c r="V143" s="479"/>
      <c r="AA143" s="479"/>
    </row>
    <row r="144" spans="11:27" s="5" customFormat="1" ht="12" hidden="1" customHeight="1">
      <c r="K144" s="499"/>
      <c r="M144" s="12"/>
      <c r="N144" s="12"/>
      <c r="U144" s="479"/>
      <c r="V144" s="479"/>
      <c r="AA144" s="479"/>
    </row>
    <row r="145" spans="11:27" s="5" customFormat="1" ht="12" hidden="1" customHeight="1">
      <c r="K145" s="499"/>
      <c r="M145" s="12"/>
      <c r="N145" s="12"/>
      <c r="U145" s="479"/>
      <c r="V145" s="479"/>
      <c r="AA145" s="479"/>
    </row>
    <row r="146" spans="11:27" s="5" customFormat="1" ht="12" hidden="1" customHeight="1">
      <c r="K146" s="499"/>
      <c r="M146" s="12"/>
      <c r="N146" s="12"/>
      <c r="U146" s="479"/>
      <c r="V146" s="479"/>
      <c r="AA146" s="479"/>
    </row>
    <row r="147" spans="11:27" s="5" customFormat="1" ht="12" hidden="1" customHeight="1">
      <c r="K147" s="499"/>
      <c r="M147" s="12"/>
      <c r="N147" s="12"/>
      <c r="U147" s="479"/>
      <c r="V147" s="479"/>
      <c r="AA147" s="479"/>
    </row>
    <row r="148" spans="11:27" s="5" customFormat="1" ht="12" hidden="1" customHeight="1">
      <c r="K148" s="499"/>
      <c r="M148" s="12"/>
      <c r="N148" s="12"/>
      <c r="U148" s="479"/>
      <c r="V148" s="479"/>
      <c r="AA148" s="479"/>
    </row>
    <row r="149" spans="11:27" s="5" customFormat="1" ht="12" hidden="1" customHeight="1">
      <c r="K149" s="499"/>
      <c r="M149" s="12"/>
      <c r="N149" s="12"/>
      <c r="U149" s="479"/>
      <c r="V149" s="479"/>
      <c r="AA149" s="479"/>
    </row>
    <row r="150" spans="11:27" s="5" customFormat="1" ht="12" hidden="1" customHeight="1">
      <c r="K150" s="499"/>
      <c r="M150" s="12"/>
      <c r="N150" s="12"/>
      <c r="U150" s="479"/>
      <c r="V150" s="479"/>
      <c r="AA150" s="479"/>
    </row>
    <row r="151" spans="11:27" s="5" customFormat="1" ht="12" hidden="1" customHeight="1">
      <c r="K151" s="499"/>
      <c r="M151" s="12"/>
      <c r="N151" s="12"/>
      <c r="U151" s="479"/>
      <c r="V151" s="479"/>
      <c r="AA151" s="479"/>
    </row>
    <row r="152" spans="11:27" s="5" customFormat="1" ht="12" hidden="1" customHeight="1">
      <c r="K152" s="499"/>
      <c r="M152" s="12"/>
      <c r="N152" s="12"/>
      <c r="U152" s="479"/>
      <c r="V152" s="479"/>
      <c r="AA152" s="479"/>
    </row>
    <row r="153" spans="11:27" s="5" customFormat="1" ht="12" hidden="1" customHeight="1">
      <c r="K153" s="499"/>
      <c r="M153" s="12"/>
      <c r="N153" s="12"/>
      <c r="U153" s="479"/>
      <c r="V153" s="479"/>
      <c r="AA153" s="479"/>
    </row>
    <row r="154" spans="11:27" s="5" customFormat="1" ht="12" hidden="1" customHeight="1">
      <c r="K154" s="499"/>
      <c r="M154" s="12"/>
      <c r="N154" s="12"/>
      <c r="U154" s="479"/>
      <c r="V154" s="479"/>
      <c r="AA154" s="479"/>
    </row>
    <row r="155" spans="11:27" s="5" customFormat="1" ht="12" hidden="1" customHeight="1">
      <c r="K155" s="499"/>
      <c r="M155" s="12"/>
      <c r="N155" s="12"/>
      <c r="U155" s="479"/>
      <c r="V155" s="479"/>
      <c r="AA155" s="479"/>
    </row>
    <row r="156" spans="11:27" s="5" customFormat="1" ht="12" hidden="1" customHeight="1">
      <c r="K156" s="499"/>
      <c r="M156" s="12"/>
      <c r="N156" s="12"/>
      <c r="U156" s="479"/>
      <c r="V156" s="479"/>
      <c r="AA156" s="479"/>
    </row>
    <row r="157" spans="11:27" s="5" customFormat="1" ht="12" hidden="1" customHeight="1">
      <c r="K157" s="499"/>
      <c r="M157" s="12"/>
      <c r="N157" s="12"/>
      <c r="U157" s="479"/>
      <c r="V157" s="479"/>
      <c r="AA157" s="479"/>
    </row>
    <row r="158" spans="11:27" s="5" customFormat="1" ht="12" hidden="1" customHeight="1">
      <c r="K158" s="499"/>
      <c r="M158" s="12"/>
      <c r="N158" s="12"/>
      <c r="U158" s="479"/>
      <c r="V158" s="479"/>
      <c r="AA158" s="479"/>
    </row>
    <row r="159" spans="11:27" s="5" customFormat="1" ht="12" hidden="1" customHeight="1">
      <c r="K159" s="499"/>
      <c r="M159" s="12"/>
      <c r="N159" s="12"/>
      <c r="U159" s="479"/>
      <c r="V159" s="479"/>
      <c r="AA159" s="479"/>
    </row>
    <row r="160" spans="11:27" s="5" customFormat="1" ht="12" hidden="1" customHeight="1">
      <c r="K160" s="499"/>
      <c r="M160" s="12"/>
      <c r="N160" s="12"/>
      <c r="U160" s="479"/>
      <c r="V160" s="479"/>
      <c r="AA160" s="479"/>
    </row>
    <row r="161" spans="11:27" s="5" customFormat="1" ht="12" hidden="1" customHeight="1">
      <c r="K161" s="499"/>
      <c r="M161" s="12"/>
      <c r="N161" s="12"/>
      <c r="U161" s="479"/>
      <c r="V161" s="479"/>
      <c r="AA161" s="479"/>
    </row>
    <row r="162" spans="11:27" s="5" customFormat="1" ht="12" hidden="1" customHeight="1">
      <c r="K162" s="499"/>
      <c r="M162" s="12"/>
      <c r="N162" s="12"/>
      <c r="U162" s="479"/>
      <c r="V162" s="479"/>
      <c r="AA162" s="479"/>
    </row>
    <row r="163" spans="11:27" s="5" customFormat="1" ht="12" hidden="1" customHeight="1">
      <c r="K163" s="499"/>
      <c r="M163" s="12"/>
      <c r="N163" s="12"/>
      <c r="U163" s="479"/>
      <c r="V163" s="479"/>
      <c r="AA163" s="479"/>
    </row>
    <row r="164" spans="11:27" s="5" customFormat="1" ht="12" hidden="1" customHeight="1">
      <c r="K164" s="499"/>
      <c r="M164" s="12"/>
      <c r="N164" s="12"/>
      <c r="U164" s="479"/>
      <c r="V164" s="479"/>
      <c r="AA164" s="479"/>
    </row>
    <row r="165" spans="11:27" s="5" customFormat="1" ht="12" hidden="1" customHeight="1">
      <c r="K165" s="499"/>
      <c r="M165" s="12"/>
      <c r="N165" s="12"/>
      <c r="U165" s="479"/>
      <c r="V165" s="479"/>
      <c r="AA165" s="479"/>
    </row>
    <row r="166" spans="11:27" s="5" customFormat="1" ht="12" hidden="1" customHeight="1">
      <c r="K166" s="499"/>
      <c r="M166" s="12"/>
      <c r="N166" s="12"/>
      <c r="U166" s="479"/>
      <c r="V166" s="479"/>
      <c r="AA166" s="479"/>
    </row>
    <row r="167" spans="11:27" s="5" customFormat="1" ht="12" hidden="1" customHeight="1">
      <c r="K167" s="499"/>
      <c r="M167" s="12"/>
      <c r="N167" s="12"/>
      <c r="U167" s="479"/>
      <c r="V167" s="479"/>
      <c r="AA167" s="479"/>
    </row>
    <row r="168" spans="11:27" s="5" customFormat="1" ht="12" hidden="1" customHeight="1">
      <c r="K168" s="499"/>
      <c r="M168" s="12"/>
      <c r="N168" s="12"/>
      <c r="U168" s="479"/>
      <c r="V168" s="479"/>
      <c r="AA168" s="479"/>
    </row>
    <row r="169" spans="11:27" s="5" customFormat="1" ht="12" hidden="1" customHeight="1">
      <c r="K169" s="499"/>
      <c r="M169" s="12"/>
      <c r="N169" s="12"/>
      <c r="U169" s="479"/>
      <c r="V169" s="479"/>
      <c r="AA169" s="479"/>
    </row>
    <row r="170" spans="11:27" s="5" customFormat="1" ht="12" hidden="1" customHeight="1">
      <c r="K170" s="499"/>
      <c r="M170" s="12"/>
      <c r="N170" s="12"/>
      <c r="U170" s="479"/>
      <c r="V170" s="479"/>
      <c r="AA170" s="479"/>
    </row>
    <row r="171" spans="11:27" s="5" customFormat="1" ht="12" hidden="1" customHeight="1">
      <c r="K171" s="499"/>
      <c r="M171" s="12"/>
      <c r="N171" s="12"/>
      <c r="U171" s="479"/>
      <c r="V171" s="479"/>
      <c r="AA171" s="479"/>
    </row>
    <row r="172" spans="11:27" s="5" customFormat="1" ht="12" hidden="1" customHeight="1">
      <c r="K172" s="499"/>
      <c r="M172" s="12"/>
      <c r="N172" s="12"/>
      <c r="U172" s="479"/>
      <c r="V172" s="479"/>
      <c r="AA172" s="479"/>
    </row>
    <row r="173" spans="11:27" s="5" customFormat="1" ht="12" hidden="1" customHeight="1">
      <c r="K173" s="499"/>
      <c r="M173" s="12"/>
      <c r="N173" s="12"/>
      <c r="U173" s="479"/>
      <c r="V173" s="479"/>
      <c r="AA173" s="479"/>
    </row>
    <row r="174" spans="11:27" s="5" customFormat="1" ht="12" hidden="1" customHeight="1">
      <c r="K174" s="499"/>
      <c r="M174" s="12"/>
      <c r="N174" s="12"/>
      <c r="U174" s="479"/>
      <c r="V174" s="479"/>
      <c r="AA174" s="479"/>
    </row>
    <row r="175" spans="11:27" s="5" customFormat="1" ht="12" hidden="1" customHeight="1">
      <c r="K175" s="499"/>
      <c r="M175" s="12"/>
      <c r="N175" s="12"/>
      <c r="U175" s="479"/>
      <c r="V175" s="479"/>
      <c r="AA175" s="479"/>
    </row>
    <row r="176" spans="11:27" s="5" customFormat="1" ht="12" hidden="1" customHeight="1">
      <c r="K176" s="499"/>
      <c r="M176" s="12"/>
      <c r="N176" s="12"/>
      <c r="U176" s="479"/>
      <c r="V176" s="479"/>
      <c r="AA176" s="479"/>
    </row>
    <row r="177" spans="11:27" s="5" customFormat="1" ht="12" hidden="1" customHeight="1">
      <c r="K177" s="499"/>
      <c r="M177" s="12"/>
      <c r="N177" s="12"/>
      <c r="U177" s="479"/>
      <c r="V177" s="479"/>
      <c r="AA177" s="479"/>
    </row>
    <row r="178" spans="11:27" s="5" customFormat="1" ht="12" hidden="1" customHeight="1">
      <c r="K178" s="499"/>
      <c r="M178" s="12"/>
      <c r="N178" s="12"/>
      <c r="U178" s="479"/>
      <c r="V178" s="479"/>
      <c r="AA178" s="479"/>
    </row>
    <row r="179" spans="11:27" s="5" customFormat="1" ht="12" hidden="1" customHeight="1">
      <c r="K179" s="499"/>
      <c r="M179" s="12"/>
      <c r="N179" s="12"/>
      <c r="U179" s="479"/>
      <c r="V179" s="479"/>
      <c r="AA179" s="479"/>
    </row>
    <row r="180" spans="11:27" s="5" customFormat="1" ht="12" hidden="1" customHeight="1">
      <c r="K180" s="499"/>
      <c r="M180" s="12"/>
      <c r="N180" s="12"/>
      <c r="U180" s="479"/>
      <c r="V180" s="479"/>
      <c r="AA180" s="479"/>
    </row>
    <row r="181" spans="11:27" s="5" customFormat="1" ht="12" hidden="1" customHeight="1">
      <c r="K181" s="499"/>
      <c r="M181" s="12"/>
      <c r="N181" s="12"/>
      <c r="U181" s="479"/>
      <c r="V181" s="479"/>
      <c r="AA181" s="479"/>
    </row>
    <row r="182" spans="11:27" s="5" customFormat="1" ht="12" hidden="1" customHeight="1">
      <c r="K182" s="499"/>
      <c r="M182" s="12"/>
      <c r="N182" s="12"/>
      <c r="U182" s="479"/>
      <c r="V182" s="479"/>
      <c r="AA182" s="479"/>
    </row>
    <row r="183" spans="11:27" s="5" customFormat="1" ht="12" hidden="1" customHeight="1">
      <c r="K183" s="499"/>
      <c r="M183" s="12"/>
      <c r="N183" s="12"/>
      <c r="U183" s="479"/>
      <c r="V183" s="479"/>
      <c r="AA183" s="479"/>
    </row>
    <row r="184" spans="11:27" s="5" customFormat="1" ht="12" hidden="1" customHeight="1">
      <c r="K184" s="499"/>
      <c r="M184" s="12"/>
      <c r="N184" s="12"/>
      <c r="U184" s="479"/>
      <c r="V184" s="479"/>
      <c r="AA184" s="479"/>
    </row>
    <row r="185" spans="11:27" s="5" customFormat="1" ht="12" hidden="1" customHeight="1">
      <c r="K185" s="499"/>
      <c r="M185" s="12"/>
      <c r="N185" s="12"/>
      <c r="U185" s="479"/>
      <c r="V185" s="479"/>
      <c r="AA185" s="479"/>
    </row>
    <row r="186" spans="11:27" s="5" customFormat="1" ht="12" hidden="1" customHeight="1">
      <c r="K186" s="499"/>
      <c r="M186" s="12"/>
      <c r="N186" s="12"/>
      <c r="U186" s="479"/>
      <c r="V186" s="479"/>
      <c r="AA186" s="479"/>
    </row>
    <row r="187" spans="11:27" s="5" customFormat="1" ht="12" hidden="1" customHeight="1">
      <c r="K187" s="499"/>
      <c r="M187" s="12"/>
      <c r="N187" s="12"/>
      <c r="U187" s="479"/>
      <c r="V187" s="479"/>
      <c r="AA187" s="479"/>
    </row>
    <row r="188" spans="11:27" s="5" customFormat="1" ht="12" hidden="1" customHeight="1">
      <c r="K188" s="499"/>
      <c r="M188" s="12"/>
      <c r="N188" s="12"/>
      <c r="U188" s="479"/>
      <c r="V188" s="479"/>
      <c r="AA188" s="479"/>
    </row>
    <row r="189" spans="11:27" s="5" customFormat="1" ht="12" hidden="1" customHeight="1">
      <c r="K189" s="499"/>
      <c r="M189" s="12"/>
      <c r="N189" s="12"/>
      <c r="U189" s="479"/>
      <c r="V189" s="479"/>
      <c r="AA189" s="479"/>
    </row>
    <row r="190" spans="11:27" s="5" customFormat="1" ht="12" hidden="1" customHeight="1">
      <c r="K190" s="499"/>
      <c r="M190" s="12"/>
      <c r="N190" s="12"/>
      <c r="U190" s="479"/>
      <c r="V190" s="479"/>
      <c r="AA190" s="479"/>
    </row>
    <row r="191" spans="11:27" s="5" customFormat="1" ht="12" hidden="1" customHeight="1">
      <c r="K191" s="499"/>
      <c r="M191" s="12"/>
      <c r="N191" s="12"/>
      <c r="U191" s="479"/>
      <c r="V191" s="479"/>
      <c r="AA191" s="479"/>
    </row>
    <row r="192" spans="11:27" s="5" customFormat="1" ht="12" hidden="1" customHeight="1">
      <c r="K192" s="499"/>
      <c r="M192" s="12"/>
      <c r="N192" s="12"/>
      <c r="U192" s="479"/>
      <c r="V192" s="479"/>
      <c r="AA192" s="479"/>
    </row>
    <row r="193" spans="1:27" s="5" customFormat="1" ht="12" customHeight="1">
      <c r="K193" s="499"/>
      <c r="M193" s="12"/>
      <c r="N193" s="12"/>
      <c r="U193" s="479"/>
      <c r="V193" s="479"/>
      <c r="AA193" s="479"/>
    </row>
    <row r="194" spans="1:27" s="5" customFormat="1" ht="12" customHeight="1">
      <c r="K194" s="499"/>
      <c r="M194" s="12"/>
      <c r="N194" s="12"/>
      <c r="U194" s="479"/>
      <c r="V194" s="479"/>
      <c r="AA194" s="479"/>
    </row>
    <row r="195" spans="1:27" s="5" customFormat="1" ht="12" customHeight="1">
      <c r="K195" s="499"/>
      <c r="M195" s="12"/>
      <c r="N195" s="12"/>
      <c r="U195" s="479"/>
      <c r="V195" s="479"/>
      <c r="AA195" s="479"/>
    </row>
    <row r="196" spans="1:27" s="5" customFormat="1" ht="12" customHeight="1">
      <c r="K196" s="499"/>
      <c r="M196" s="12"/>
      <c r="N196" s="12"/>
      <c r="U196" s="479"/>
      <c r="V196" s="479"/>
      <c r="AA196" s="479"/>
    </row>
    <row r="197" spans="1:27" s="5" customFormat="1" ht="12" customHeight="1">
      <c r="K197" s="499"/>
      <c r="M197" s="12"/>
      <c r="N197" s="12"/>
      <c r="U197" s="479"/>
      <c r="V197" s="479"/>
      <c r="AA197" s="479"/>
    </row>
    <row r="198" spans="1:27" ht="12" customHeight="1">
      <c r="A198" s="5"/>
      <c r="B198" s="5"/>
      <c r="C198" s="5"/>
      <c r="D198" s="5"/>
      <c r="E198" s="5"/>
      <c r="F198" s="5"/>
      <c r="G198" s="5"/>
      <c r="H198" s="5"/>
      <c r="I198" s="5"/>
      <c r="J198" s="5"/>
      <c r="K198" s="499"/>
      <c r="L198" s="5"/>
      <c r="M198" s="12"/>
      <c r="N198" s="12"/>
      <c r="O198" s="5"/>
    </row>
    <row r="199" spans="1:27">
      <c r="A199" s="5"/>
      <c r="B199" s="5"/>
      <c r="C199" s="5"/>
      <c r="D199" s="5"/>
      <c r="E199" s="5"/>
      <c r="F199" s="5"/>
      <c r="G199" s="5"/>
      <c r="H199" s="5"/>
      <c r="I199" s="5"/>
      <c r="J199" s="5"/>
      <c r="K199" s="499"/>
      <c r="L199" s="5"/>
      <c r="M199" s="12"/>
      <c r="N199" s="12"/>
      <c r="O199" s="5"/>
    </row>
    <row r="200" spans="1:27">
      <c r="A200" s="5"/>
      <c r="B200" s="5"/>
      <c r="C200" s="5"/>
      <c r="D200" s="5"/>
      <c r="E200" s="5"/>
      <c r="F200" s="5"/>
      <c r="G200" s="5"/>
      <c r="H200" s="5"/>
      <c r="I200" s="5"/>
      <c r="J200" s="5"/>
      <c r="K200" s="499"/>
      <c r="L200" s="5"/>
      <c r="M200" s="12"/>
      <c r="N200" s="12"/>
      <c r="O200" s="5"/>
    </row>
    <row r="201" spans="1:27">
      <c r="A201" s="5"/>
      <c r="B201" s="5"/>
      <c r="C201" s="5"/>
      <c r="D201" s="5"/>
      <c r="E201" s="5"/>
      <c r="F201" s="5"/>
      <c r="G201" s="5"/>
      <c r="H201" s="5"/>
      <c r="I201" s="5"/>
      <c r="J201" s="5"/>
      <c r="K201" s="499"/>
      <c r="L201" s="5"/>
      <c r="M201" s="12"/>
      <c r="N201" s="12"/>
      <c r="O201" s="5"/>
    </row>
    <row r="202" spans="1:27">
      <c r="D202" s="5"/>
      <c r="E202" s="5"/>
    </row>
  </sheetData>
  <sheetProtection algorithmName="SHA-512" hashValue="WA4/Z2L92qGxrz/A32aD57zUWnr43V8QHFh58qbgpLSDQiemaJp87znMZFbpXsY5PPIS8emD07L2QnocUVXs0Q==" saltValue="8q7IzLpxNqYERwKQ2RQMpQ==" spinCount="100000" sheet="1" objects="1" scenarios="1"/>
  <mergeCells count="69">
    <mergeCell ref="L5:N5"/>
    <mergeCell ref="O4:O5"/>
    <mergeCell ref="Y34:Z34"/>
    <mergeCell ref="J22:K22"/>
    <mergeCell ref="J23:K23"/>
    <mergeCell ref="M22:N22"/>
    <mergeCell ref="A20:O20"/>
    <mergeCell ref="K18:K19"/>
    <mergeCell ref="L12:O12"/>
    <mergeCell ref="A23:B23"/>
    <mergeCell ref="G23:H23"/>
    <mergeCell ref="P32:Q32"/>
    <mergeCell ref="A26:B26"/>
    <mergeCell ref="A27:B27"/>
    <mergeCell ref="M23:N23"/>
    <mergeCell ref="O21:O24"/>
    <mergeCell ref="A1:O1"/>
    <mergeCell ref="A4:J4"/>
    <mergeCell ref="A3:J3"/>
    <mergeCell ref="A2:O2"/>
    <mergeCell ref="M4:N4"/>
    <mergeCell ref="A14:J14"/>
    <mergeCell ref="B32:O32"/>
    <mergeCell ref="A22:B22"/>
    <mergeCell ref="E22:F22"/>
    <mergeCell ref="G22:H22"/>
    <mergeCell ref="A25:B25"/>
    <mergeCell ref="M24:N24"/>
    <mergeCell ref="M25:N25"/>
    <mergeCell ref="M26:N26"/>
    <mergeCell ref="M21:N21"/>
    <mergeCell ref="L18:O19"/>
    <mergeCell ref="A18:J19"/>
    <mergeCell ref="A24:B24"/>
    <mergeCell ref="A17:J17"/>
    <mergeCell ref="M27:N27"/>
    <mergeCell ref="M28:N28"/>
    <mergeCell ref="A5:J5"/>
    <mergeCell ref="A8:J8"/>
    <mergeCell ref="A16:J16"/>
    <mergeCell ref="A13:O13"/>
    <mergeCell ref="A15:J15"/>
    <mergeCell ref="A6:J6"/>
    <mergeCell ref="L6:O6"/>
    <mergeCell ref="L8:O8"/>
    <mergeCell ref="A12:J12"/>
    <mergeCell ref="A9:J9"/>
    <mergeCell ref="L9:O9"/>
    <mergeCell ref="A7:J7"/>
    <mergeCell ref="L7:O7"/>
    <mergeCell ref="A11:J11"/>
    <mergeCell ref="A10:J10"/>
    <mergeCell ref="L10:O10"/>
    <mergeCell ref="AA9:AB9"/>
    <mergeCell ref="Y8:AB8"/>
    <mergeCell ref="B37:O37"/>
    <mergeCell ref="B42:O42"/>
    <mergeCell ref="Y35:Z35"/>
    <mergeCell ref="B38:O38"/>
    <mergeCell ref="I30:J30"/>
    <mergeCell ref="B31:O31"/>
    <mergeCell ref="B41:O41"/>
    <mergeCell ref="Y36:Z36"/>
    <mergeCell ref="B40:O40"/>
    <mergeCell ref="B33:O33"/>
    <mergeCell ref="B35:O35"/>
    <mergeCell ref="B36:O36"/>
    <mergeCell ref="B34:O34"/>
    <mergeCell ref="B39:O39"/>
  </mergeCells>
  <conditionalFormatting sqref="L4">
    <cfRule type="expression" dxfId="1360" priority="29" stopIfTrue="1">
      <formula>$L$4="WARNING: Too many users for Db and App on one server"</formula>
    </cfRule>
  </conditionalFormatting>
  <conditionalFormatting sqref="O28">
    <cfRule type="containsText" dxfId="1359" priority="21" stopIfTrue="1" operator="containsText" text="WARNING">
      <formula>NOT(ISERROR(SEARCH("WARNING",O28)))</formula>
    </cfRule>
  </conditionalFormatting>
  <conditionalFormatting sqref="O25">
    <cfRule type="containsText" dxfId="1358" priority="20" stopIfTrue="1" operator="containsText" text="WARNING">
      <formula>NOT(ISERROR(SEARCH("WARNING",O25)))</formula>
    </cfRule>
  </conditionalFormatting>
  <conditionalFormatting sqref="O15">
    <cfRule type="containsText" dxfId="1357" priority="16" stopIfTrue="1" operator="containsText" text="WARNING:">
      <formula>NOT(ISERROR(SEARCH("WARNING:",O15)))</formula>
    </cfRule>
  </conditionalFormatting>
  <conditionalFormatting sqref="O26">
    <cfRule type="containsText" dxfId="1356" priority="8" stopIfTrue="1" operator="containsText" text="WARNING">
      <formula>NOT(ISERROR(SEARCH("WARNING",O26)))</formula>
    </cfRule>
  </conditionalFormatting>
  <conditionalFormatting sqref="O27">
    <cfRule type="containsText" dxfId="1355" priority="7" stopIfTrue="1" operator="containsText" text="WARNING">
      <formula>NOT(ISERROR(SEARCH("WARNING",O27)))</formula>
    </cfRule>
  </conditionalFormatting>
  <conditionalFormatting sqref="M29:M30">
    <cfRule type="containsText" dxfId="1354" priority="6" stopIfTrue="1" operator="containsText" text="Warning">
      <formula>NOT(ISERROR(SEARCH("Warning",M29)))</formula>
    </cfRule>
  </conditionalFormatting>
  <conditionalFormatting sqref="M4:N4">
    <cfRule type="expression" dxfId="1353" priority="5">
      <formula>($K$4&lt;&gt;"No")</formula>
    </cfRule>
  </conditionalFormatting>
  <conditionalFormatting sqref="O4:O5">
    <cfRule type="expression" dxfId="1352" priority="1" stopIfTrue="1">
      <formula>$K$4="Yes"</formula>
    </cfRule>
    <cfRule type="cellIs" dxfId="1351" priority="4" operator="equal">
      <formula>"WARNING: Too many users for Db and App on one server.  GE recommendation is separate DB and App servers."</formula>
    </cfRule>
  </conditionalFormatting>
  <dataValidations count="14">
    <dataValidation type="list" allowBlank="1" showInputMessage="1" showErrorMessage="1" sqref="S7" xr:uid="{00000000-0002-0000-0200-000000000000}">
      <formula1>$S$5:$S$5</formula1>
    </dataValidation>
    <dataValidation type="list" showInputMessage="1" showErrorMessage="1" sqref="K4" xr:uid="{00000000-0002-0000-0200-000001000000}">
      <formula1>$U$12:$U$14</formula1>
    </dataValidation>
    <dataValidation type="list" allowBlank="1" showInputMessage="1" showErrorMessage="1" sqref="K7" xr:uid="{00000000-0002-0000-0200-000002000000}">
      <formula1>$U$7:$U$9</formula1>
    </dataValidation>
    <dataValidation type="list" allowBlank="1" showInputMessage="1" showErrorMessage="1" sqref="K3 M4" xr:uid="{00000000-0002-0000-0200-000003000000}">
      <formula1>$U$2:$U$5</formula1>
    </dataValidation>
    <dataValidation type="list" allowBlank="1" showInputMessage="1" showErrorMessage="1" sqref="J25:J27" xr:uid="{00000000-0002-0000-0200-000004000000}">
      <formula1>$AB$23:$AB$29</formula1>
    </dataValidation>
    <dataValidation type="list" allowBlank="1" showInputMessage="1" showErrorMessage="1" sqref="K25:K27" xr:uid="{00000000-0002-0000-0200-000005000000}">
      <formula1>$Y$23:$Y$27</formula1>
    </dataValidation>
    <dataValidation type="list" allowBlank="1" showInputMessage="1" showErrorMessage="1" sqref="I28" xr:uid="{00000000-0002-0000-0200-000006000000}">
      <formula1>$AC$32:$AC$35</formula1>
    </dataValidation>
    <dataValidation type="list" allowBlank="1" showInputMessage="1" showErrorMessage="1" sqref="I29" xr:uid="{00000000-0002-0000-0200-000007000000}">
      <formula1>$AC$37:$AC$52</formula1>
    </dataValidation>
    <dataValidation type="list" allowBlank="1" showInputMessage="1" showErrorMessage="1" sqref="M11" xr:uid="{00000000-0002-0000-0200-00000A000000}">
      <formula1>$W$8:$W$10</formula1>
    </dataValidation>
    <dataValidation type="list" allowBlank="1" showInputMessage="1" showErrorMessage="1" sqref="I30:J30" xr:uid="{00000000-0002-0000-0200-00000B000000}">
      <formula1>$Y$45:$Y$49</formula1>
    </dataValidation>
    <dataValidation type="list" allowBlank="1" showInputMessage="1" showErrorMessage="1" sqref="K9" xr:uid="{00000000-0002-0000-0200-000008000000}">
      <formula1>$U$16:$U$19</formula1>
    </dataValidation>
    <dataValidation type="list" allowBlank="1" showInputMessage="1" showErrorMessage="1" sqref="K10" xr:uid="{00000000-0002-0000-0200-000009000000}">
      <formula1>$W$16:$W$20</formula1>
    </dataValidation>
    <dataValidation type="whole" allowBlank="1" showInputMessage="1" showErrorMessage="1" sqref="K5" xr:uid="{FF103A0A-9CCC-4E0C-8856-EB2DC7E7EADF}">
      <formula1>1</formula1>
      <formula2>5000</formula2>
    </dataValidation>
    <dataValidation type="whole" allowBlank="1" showInputMessage="1" showErrorMessage="1" sqref="K8" xr:uid="{DDB72708-4D45-4691-9628-BB2491702D58}">
      <formula1>1</formula1>
      <formula2>5000000</formula2>
    </dataValidation>
  </dataValidations>
  <pageMargins left="0.7" right="0.7" top="0.75" bottom="0.75" header="0.3" footer="0.3"/>
  <pageSetup orientation="portrait" horizontalDpi="90" verticalDpi="90" r:id="rId1"/>
  <ignoredErrors>
    <ignoredError sqref="K1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6617" r:id="rId4" name="Button 5897">
              <controlPr defaultSize="0" print="0" autoFill="0" autoPict="0" macro="[0]!Reset_DB_Info">
                <anchor moveWithCells="1">
                  <from>
                    <xdr:col>0</xdr:col>
                    <xdr:colOff>28575</xdr:colOff>
                    <xdr:row>0</xdr:row>
                    <xdr:rowOff>9525</xdr:rowOff>
                  </from>
                  <to>
                    <xdr:col>1</xdr:col>
                    <xdr:colOff>533400</xdr:colOff>
                    <xdr:row>0</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M61"/>
  <sheetViews>
    <sheetView zoomScaleNormal="100" workbookViewId="0">
      <selection activeCell="H3" sqref="H3"/>
    </sheetView>
  </sheetViews>
  <sheetFormatPr defaultColWidth="8.86328125" defaultRowHeight="14.25"/>
  <cols>
    <col min="5" max="5" width="8.1328125" customWidth="1"/>
    <col min="7" max="7" width="33.1328125" customWidth="1"/>
    <col min="8" max="8" width="31.73046875" style="3" customWidth="1"/>
    <col min="9" max="9" width="36.3984375" customWidth="1"/>
    <col min="10" max="10" width="7.3984375" customWidth="1"/>
    <col min="11" max="11" width="14.1328125" customWidth="1"/>
    <col min="12" max="12" width="23.3984375" customWidth="1"/>
    <col min="13" max="13" width="19.1328125" customWidth="1"/>
    <col min="14" max="14" width="31.3984375" customWidth="1"/>
    <col min="15" max="15" width="9.1328125" style="5" hidden="1" customWidth="1"/>
    <col min="16" max="16" width="12.86328125" style="5" hidden="1" customWidth="1"/>
    <col min="17" max="17" width="9.1328125" style="5" hidden="1" customWidth="1"/>
    <col min="18" max="18" width="9.3984375" hidden="1" customWidth="1"/>
    <col min="19" max="19" width="9.1328125" hidden="1" customWidth="1"/>
    <col min="20" max="20" width="30.3984375" hidden="1" customWidth="1"/>
    <col min="21" max="25" width="9.1328125" hidden="1" customWidth="1"/>
    <col min="26" max="26" width="19.3984375" hidden="1" customWidth="1"/>
    <col min="27" max="37" width="9.1328125" hidden="1" customWidth="1"/>
    <col min="38" max="41" width="9.1328125" customWidth="1"/>
  </cols>
  <sheetData>
    <row r="1" spans="1:26" ht="18.75" thickTop="1" thickBot="1">
      <c r="A1" s="1080" t="s">
        <v>52</v>
      </c>
      <c r="B1" s="1081"/>
      <c r="C1" s="1081"/>
      <c r="D1" s="1081"/>
      <c r="E1" s="1081"/>
      <c r="F1" s="1081"/>
      <c r="G1" s="1081"/>
      <c r="H1" s="1081"/>
      <c r="I1" s="1081"/>
      <c r="J1" s="1081"/>
      <c r="K1" s="1081"/>
      <c r="L1" s="1081"/>
      <c r="M1" s="1081"/>
      <c r="N1" s="1082"/>
    </row>
    <row r="2" spans="1:26" ht="32.25" customHeight="1" thickBot="1">
      <c r="A2" s="996" t="s">
        <v>1096</v>
      </c>
      <c r="B2" s="997"/>
      <c r="C2" s="997"/>
      <c r="D2" s="997"/>
      <c r="E2" s="997"/>
      <c r="F2" s="997"/>
      <c r="G2" s="997"/>
      <c r="H2" s="1066"/>
      <c r="I2" s="997"/>
      <c r="J2" s="997"/>
      <c r="K2" s="997"/>
      <c r="L2" s="997"/>
      <c r="M2" s="997"/>
      <c r="N2" s="998"/>
    </row>
    <row r="3" spans="1:26" ht="14.65" thickBot="1">
      <c r="A3" s="1089" t="s">
        <v>109</v>
      </c>
      <c r="B3" s="1090"/>
      <c r="C3" s="1090"/>
      <c r="D3" s="1090"/>
      <c r="E3" s="1090"/>
      <c r="F3" s="1090"/>
      <c r="G3" s="1091"/>
      <c r="H3" s="105" t="s">
        <v>60</v>
      </c>
      <c r="I3" s="1092"/>
      <c r="J3" s="1090"/>
      <c r="K3" s="1090"/>
      <c r="L3" s="1090"/>
      <c r="M3" s="1090"/>
      <c r="N3" s="1093"/>
      <c r="S3" t="s">
        <v>76</v>
      </c>
      <c r="T3" t="s">
        <v>60</v>
      </c>
      <c r="U3" t="s">
        <v>77</v>
      </c>
    </row>
    <row r="4" spans="1:26" ht="16.149999999999999" thickTop="1" thickBot="1">
      <c r="A4" s="1094" t="str">
        <f>IF(H3="No","If not using Citrix or Windows Terminal Servers, please go to next Tab","")</f>
        <v/>
      </c>
      <c r="B4" s="1095"/>
      <c r="C4" s="1095"/>
      <c r="D4" s="1095"/>
      <c r="E4" s="1095"/>
      <c r="F4" s="1095"/>
      <c r="G4" s="1095"/>
      <c r="H4" s="1096"/>
      <c r="I4" s="1095"/>
      <c r="J4" s="1095"/>
      <c r="K4" s="1095"/>
      <c r="L4" s="1095"/>
      <c r="M4" s="1095"/>
      <c r="N4" s="1097"/>
      <c r="T4" t="s">
        <v>51</v>
      </c>
    </row>
    <row r="5" spans="1:26" ht="14.65" thickTop="1">
      <c r="A5" s="1083" t="s">
        <v>77</v>
      </c>
      <c r="B5" s="1084"/>
      <c r="C5" s="1084"/>
      <c r="D5" s="1084"/>
      <c r="E5" s="1084"/>
      <c r="F5" s="1084"/>
      <c r="G5" s="1085"/>
      <c r="H5" s="105" t="s">
        <v>60</v>
      </c>
      <c r="I5" s="1098"/>
      <c r="J5" s="1084"/>
      <c r="K5" s="1084"/>
      <c r="L5" s="1084"/>
      <c r="M5" s="1084"/>
      <c r="N5" s="1099"/>
      <c r="T5" t="s">
        <v>0</v>
      </c>
    </row>
    <row r="6" spans="1:26" ht="34.5" customHeight="1">
      <c r="A6" s="1102" t="s">
        <v>923</v>
      </c>
      <c r="B6" s="1103"/>
      <c r="C6" s="1103"/>
      <c r="D6" s="1103"/>
      <c r="E6" s="1103"/>
      <c r="F6" s="1103"/>
      <c r="G6" s="1104"/>
      <c r="H6" s="105" t="s">
        <v>60</v>
      </c>
      <c r="I6" s="1105" t="str">
        <f>IF(H6="Select One:","",IF(H6="Windows Server 2016 64 bit","Note: athenaPractice V23 supports Windows Server 2016, 2019 and 2022 - 64 bit with Citrix XenApp and XenDesktop 7.15 LTSR, Citrix Virtual Apps &amp; Desktops 1909, 1912,2203 LTSR",IF(H6="Windows Server 2019 64 bit","Note: athenaPractice V23 supports Windows Server 2016, 2019 and 2022 - 64 bit with Citrix XenApp and XenDesktop 7.15 LTSR, Citrix Virtual Apps &amp; Desktops 1909, 1912 LTSR","")))</f>
        <v/>
      </c>
      <c r="J6" s="1106"/>
      <c r="K6" s="1106"/>
      <c r="L6" s="1106"/>
      <c r="M6" s="1106"/>
      <c r="N6" s="1107"/>
    </row>
    <row r="7" spans="1:26" ht="19.5" customHeight="1">
      <c r="A7" s="1086" t="s">
        <v>313</v>
      </c>
      <c r="B7" s="1087"/>
      <c r="C7" s="1087"/>
      <c r="D7" s="1087"/>
      <c r="E7" s="1087"/>
      <c r="F7" s="1087"/>
      <c r="G7" s="1088"/>
      <c r="H7" s="463"/>
      <c r="I7" s="1100" t="s">
        <v>477</v>
      </c>
      <c r="J7" s="1087" t="s">
        <v>21</v>
      </c>
      <c r="K7" s="1087"/>
      <c r="L7" s="1087"/>
      <c r="M7" s="1087"/>
      <c r="N7" s="1101"/>
    </row>
    <row r="8" spans="1:26">
      <c r="A8" s="1114"/>
      <c r="B8" s="1115"/>
      <c r="C8" s="1115"/>
      <c r="D8" s="1115"/>
      <c r="E8" s="1115"/>
      <c r="F8" s="1115"/>
      <c r="G8" s="1116"/>
      <c r="H8" s="109"/>
      <c r="I8" s="1100" t="s">
        <v>476</v>
      </c>
      <c r="J8" s="1112"/>
      <c r="K8" s="1112"/>
      <c r="L8" s="1112"/>
      <c r="M8" s="1112"/>
      <c r="N8" s="1113"/>
      <c r="S8" t="s">
        <v>76</v>
      </c>
      <c r="T8" t="s">
        <v>60</v>
      </c>
      <c r="U8" t="s">
        <v>72</v>
      </c>
    </row>
    <row r="9" spans="1:26" ht="30.75" customHeight="1">
      <c r="A9" s="1102" t="s">
        <v>478</v>
      </c>
      <c r="B9" s="1103"/>
      <c r="C9" s="1103"/>
      <c r="D9" s="1103"/>
      <c r="E9" s="1103"/>
      <c r="F9" s="1103"/>
      <c r="G9" s="1104"/>
      <c r="H9" s="103"/>
      <c r="I9" s="1110" t="s">
        <v>672</v>
      </c>
      <c r="J9" s="1103" t="s">
        <v>21</v>
      </c>
      <c r="K9" s="1103"/>
      <c r="L9" s="1103"/>
      <c r="M9" s="1103"/>
      <c r="N9" s="1111"/>
      <c r="T9" t="s">
        <v>51</v>
      </c>
    </row>
    <row r="10" spans="1:26" ht="30" customHeight="1">
      <c r="A10" s="1102" t="s">
        <v>1131</v>
      </c>
      <c r="B10" s="1032"/>
      <c r="C10" s="1032"/>
      <c r="D10" s="1032"/>
      <c r="E10" s="1032"/>
      <c r="F10" s="1032"/>
      <c r="G10" s="1127"/>
      <c r="H10" s="103"/>
      <c r="I10" s="1108" t="s">
        <v>5</v>
      </c>
      <c r="J10" s="1032"/>
      <c r="K10" s="1032"/>
      <c r="L10" s="1032"/>
      <c r="M10" s="1032"/>
      <c r="N10" s="1109"/>
      <c r="O10" s="20"/>
      <c r="T10" t="s">
        <v>0</v>
      </c>
    </row>
    <row r="11" spans="1:26" ht="90" customHeight="1" thickBot="1">
      <c r="A11" s="1121" t="s">
        <v>1132</v>
      </c>
      <c r="B11" s="1122"/>
      <c r="C11" s="1122"/>
      <c r="D11" s="1122"/>
      <c r="E11" s="1122"/>
      <c r="F11" s="1122"/>
      <c r="G11" s="1123"/>
      <c r="H11" s="110" t="s">
        <v>60</v>
      </c>
      <c r="I11" s="1130" t="s">
        <v>1097</v>
      </c>
      <c r="J11" s="1131"/>
      <c r="K11" s="1131"/>
      <c r="L11" s="1131"/>
      <c r="M11" s="1131"/>
      <c r="N11" s="1132"/>
      <c r="T11" s="253" t="str">
        <f>'Clinical Info'!H12</f>
        <v>Select One:</v>
      </c>
      <c r="U11" t="s">
        <v>703</v>
      </c>
      <c r="Z11" t="str">
        <f>IF(H6="Select One:","",IF(H6="Windows Server 2008 R2 64 bit","Warning: CPS12.3 requires at a minimum Win Svr 2012R2(Standard/Datacenter) and Citrix XenApp 7.6 64-bit OR RDP 6.1 and above",IF(H6="Windows Server 2012 64 bit","Warning: CPS12.3 requires at a minimum Win Svr 2012R2(Standard/Datacenter) and Citrix XenApp 7.6 64-bit OR RDP 6.1 and above","")))</f>
        <v/>
      </c>
    </row>
    <row r="12" spans="1:26" ht="16.149999999999999" thickTop="1" thickBot="1">
      <c r="A12" s="1094" t="s">
        <v>97</v>
      </c>
      <c r="B12" s="1095"/>
      <c r="C12" s="1095"/>
      <c r="D12" s="1095"/>
      <c r="E12" s="1095"/>
      <c r="F12" s="1095"/>
      <c r="G12" s="1095"/>
      <c r="H12" s="1095"/>
      <c r="I12" s="1095"/>
      <c r="J12" s="1095"/>
      <c r="K12" s="1095"/>
      <c r="L12" s="1095"/>
      <c r="M12" s="1095"/>
      <c r="N12" s="1097"/>
      <c r="T12">
        <f>IF(T11="Full Auditing", 0.75,1)</f>
        <v>1</v>
      </c>
      <c r="U12" t="s">
        <v>704</v>
      </c>
    </row>
    <row r="13" spans="1:26" ht="14.65" thickTop="1">
      <c r="A13" s="1083" t="s">
        <v>1098</v>
      </c>
      <c r="B13" s="1084"/>
      <c r="C13" s="1084"/>
      <c r="D13" s="1084"/>
      <c r="E13" s="1084"/>
      <c r="F13" s="1084"/>
      <c r="G13" s="1085"/>
      <c r="H13" s="111">
        <f>IF(H11="Yes",125,0)</f>
        <v>0</v>
      </c>
      <c r="I13" s="1098" t="s">
        <v>1</v>
      </c>
      <c r="J13" s="1084"/>
      <c r="K13" s="1084"/>
      <c r="L13" s="1084"/>
      <c r="M13" s="1084"/>
      <c r="N13" s="1099"/>
    </row>
    <row r="14" spans="1:26">
      <c r="A14" s="1133" t="s">
        <v>73</v>
      </c>
      <c r="B14" s="1032"/>
      <c r="C14" s="1032"/>
      <c r="D14" s="1032"/>
      <c r="E14" s="1032"/>
      <c r="F14" s="1032"/>
      <c r="G14" s="1127"/>
      <c r="H14" s="109">
        <f>IF(H11="Yes",3,6)*T12</f>
        <v>6</v>
      </c>
      <c r="I14" s="1108" t="s">
        <v>23</v>
      </c>
      <c r="J14" s="1032"/>
      <c r="K14" s="1032"/>
      <c r="L14" s="1032"/>
      <c r="M14" s="1032"/>
      <c r="N14" s="1109"/>
      <c r="P14" s="228"/>
    </row>
    <row r="15" spans="1:26">
      <c r="A15" s="1133" t="s">
        <v>1099</v>
      </c>
      <c r="B15" s="1032"/>
      <c r="C15" s="1032"/>
      <c r="D15" s="1032"/>
      <c r="E15" s="1032"/>
      <c r="F15" s="1032"/>
      <c r="G15" s="1127"/>
      <c r="H15" s="112">
        <f>IF(H11="Yes",1375,350)+H13</f>
        <v>350</v>
      </c>
      <c r="I15" s="1108" t="s">
        <v>24</v>
      </c>
      <c r="J15" s="1032"/>
      <c r="K15" s="1032"/>
      <c r="L15" s="1032"/>
      <c r="M15" s="1032"/>
      <c r="N15" s="1109"/>
      <c r="P15" s="228"/>
      <c r="T15" t="s">
        <v>877</v>
      </c>
    </row>
    <row r="16" spans="1:26">
      <c r="A16" s="1133" t="s">
        <v>74</v>
      </c>
      <c r="B16" s="1032"/>
      <c r="C16" s="1032"/>
      <c r="D16" s="1032"/>
      <c r="E16" s="1032"/>
      <c r="F16" s="1032"/>
      <c r="G16" s="1127"/>
      <c r="H16" s="113">
        <f>ROUNDUP((IF(H9="",ROUNDUP(0.75*3*H7,1),H9))/H14,0)</f>
        <v>0</v>
      </c>
      <c r="I16" s="1108" t="s">
        <v>25</v>
      </c>
      <c r="J16" s="1032"/>
      <c r="K16" s="1032"/>
      <c r="L16" s="1032"/>
      <c r="M16" s="1032"/>
      <c r="N16" s="1109"/>
      <c r="T16" t="s">
        <v>60</v>
      </c>
      <c r="W16" s="258"/>
    </row>
    <row r="17" spans="1:23" ht="16.5" customHeight="1" thickBot="1">
      <c r="A17" s="1121" t="s">
        <v>75</v>
      </c>
      <c r="B17" s="1122"/>
      <c r="C17" s="1122"/>
      <c r="D17" s="1122"/>
      <c r="E17" s="1122"/>
      <c r="F17" s="1122"/>
      <c r="G17" s="1123"/>
      <c r="H17" s="114">
        <f>512+(IF(H11="Yes",500,350)+H13)*IF(H9="",ROUNDUP(0.75*3*H7,0),H9)</f>
        <v>512</v>
      </c>
      <c r="I17" s="1128" t="s">
        <v>1</v>
      </c>
      <c r="J17" s="1122"/>
      <c r="K17" s="1122"/>
      <c r="L17" s="1122"/>
      <c r="M17" s="1122"/>
      <c r="N17" s="1129"/>
      <c r="T17" t="s">
        <v>945</v>
      </c>
      <c r="W17" s="258"/>
    </row>
    <row r="18" spans="1:23" ht="16.149999999999999" thickTop="1" thickBot="1">
      <c r="A18" s="1136" t="s">
        <v>49</v>
      </c>
      <c r="B18" s="1137"/>
      <c r="C18" s="1137"/>
      <c r="D18" s="1137"/>
      <c r="E18" s="1137"/>
      <c r="F18" s="1137"/>
      <c r="G18" s="1137"/>
      <c r="H18" s="1095"/>
      <c r="I18" s="1095"/>
      <c r="J18" s="1095"/>
      <c r="K18" s="1095"/>
      <c r="L18" s="1095"/>
      <c r="M18" s="1095"/>
      <c r="N18" s="1097"/>
      <c r="T18" t="s">
        <v>1124</v>
      </c>
      <c r="W18" s="258"/>
    </row>
    <row r="19" spans="1:23" ht="15" customHeight="1" thickTop="1">
      <c r="A19" s="1164" t="s">
        <v>1020</v>
      </c>
      <c r="B19" s="1165"/>
      <c r="C19" s="1165"/>
      <c r="D19" s="1165"/>
      <c r="E19" s="1165"/>
      <c r="F19" s="1165"/>
      <c r="G19" s="1166"/>
      <c r="H19" s="1143" t="s">
        <v>60</v>
      </c>
      <c r="I19" s="1143"/>
      <c r="J19" s="1143"/>
      <c r="K19" s="1143"/>
      <c r="L19" s="1143"/>
      <c r="M19" s="1144"/>
      <c r="N19" s="1145"/>
      <c r="T19" t="s">
        <v>1145</v>
      </c>
      <c r="U19">
        <f>H14*F22</f>
        <v>24</v>
      </c>
      <c r="V19" s="5" t="s">
        <v>946</v>
      </c>
      <c r="W19" s="258"/>
    </row>
    <row r="20" spans="1:23" ht="15" customHeight="1">
      <c r="A20" s="452" t="s">
        <v>84</v>
      </c>
      <c r="B20" s="453"/>
      <c r="C20" s="453"/>
      <c r="D20" s="453"/>
      <c r="E20" s="454"/>
      <c r="F20" s="113">
        <f>U24</f>
        <v>0</v>
      </c>
      <c r="G20" s="93" t="s">
        <v>671</v>
      </c>
      <c r="H20" s="211"/>
      <c r="I20" s="1148" t="s">
        <v>879</v>
      </c>
      <c r="J20" s="1149"/>
      <c r="K20" s="1150"/>
      <c r="L20" s="212" t="s">
        <v>60</v>
      </c>
      <c r="M20" s="1134" t="s">
        <v>881</v>
      </c>
      <c r="N20" s="1135"/>
      <c r="U20">
        <v>12</v>
      </c>
      <c r="V20" t="s">
        <v>949</v>
      </c>
      <c r="W20" s="258"/>
    </row>
    <row r="21" spans="1:23">
      <c r="A21" s="1124" t="s">
        <v>878</v>
      </c>
      <c r="B21" s="1125"/>
      <c r="C21" s="1125"/>
      <c r="D21" s="1125"/>
      <c r="E21" s="1126"/>
      <c r="F21" s="113">
        <f>F22*H14</f>
        <v>24</v>
      </c>
      <c r="G21" s="93" t="s">
        <v>668</v>
      </c>
      <c r="H21" s="211"/>
      <c r="I21" s="1148" t="s">
        <v>880</v>
      </c>
      <c r="J21" s="1149"/>
      <c r="K21" s="1150"/>
      <c r="L21" s="210"/>
      <c r="M21" s="1134" t="s">
        <v>882</v>
      </c>
      <c r="N21" s="1135"/>
      <c r="U21">
        <f>CEILING((F21*H15+1024),2048)/1024</f>
        <v>10</v>
      </c>
      <c r="V21" t="s">
        <v>947</v>
      </c>
      <c r="W21" s="258"/>
    </row>
    <row r="22" spans="1:23" ht="28.35" customHeight="1">
      <c r="A22" s="1167" t="s">
        <v>1039</v>
      </c>
      <c r="B22" s="1141"/>
      <c r="C22" s="1141"/>
      <c r="D22" s="1141"/>
      <c r="E22" s="1168"/>
      <c r="F22" s="833">
        <v>4</v>
      </c>
      <c r="G22" s="93" t="s">
        <v>1040</v>
      </c>
      <c r="H22" s="211"/>
      <c r="I22" s="1134" t="s">
        <v>669</v>
      </c>
      <c r="J22" s="1120"/>
      <c r="K22" s="1151" t="str">
        <f>IF(OR(L20="Select One:",L20="Other"),"",IF(ISBLANK(H21),"",IF(VLOOKUP(H21,Defaults!C17:D32,2,TRUE)=L20,"",IF(VLOOKUP(H21,Defaults!C17:D32,2,FALSE)=L20,"","Warning: Number of cores specified does not match CPU model range. Please verify selections."))))</f>
        <v/>
      </c>
      <c r="L22" s="1151"/>
      <c r="M22" s="1151"/>
      <c r="N22" s="1152"/>
      <c r="U22">
        <f>U20*1.5</f>
        <v>18</v>
      </c>
      <c r="V22" t="s">
        <v>948</v>
      </c>
      <c r="W22" s="258"/>
    </row>
    <row r="23" spans="1:23">
      <c r="A23" s="1169" t="s">
        <v>85</v>
      </c>
      <c r="B23" s="1120"/>
      <c r="C23" s="1120"/>
      <c r="D23" s="1120"/>
      <c r="E23" s="1170"/>
      <c r="F23" s="113">
        <f>CEILING((F21*H15+512),2048)/1024</f>
        <v>10</v>
      </c>
      <c r="G23" s="93" t="s">
        <v>5</v>
      </c>
      <c r="H23" s="115">
        <v>24</v>
      </c>
      <c r="I23" s="467" t="s">
        <v>670</v>
      </c>
      <c r="J23" s="1120"/>
      <c r="K23" s="1120"/>
      <c r="L23" s="466"/>
      <c r="M23" s="466"/>
      <c r="N23" s="468"/>
      <c r="U23">
        <f>IF(F22&lt;&gt;"",ROUNDUP(IF(H9="",ROUNDUP(0.75*3*H7,1),H9)/F21,0),"")</f>
        <v>0</v>
      </c>
      <c r="V23" t="s">
        <v>950</v>
      </c>
      <c r="W23" s="258"/>
    </row>
    <row r="24" spans="1:23" ht="27.75" customHeight="1">
      <c r="A24" s="1169" t="s">
        <v>86</v>
      </c>
      <c r="B24" s="1120"/>
      <c r="C24" s="1120"/>
      <c r="D24" s="1120"/>
      <c r="E24" s="1170"/>
      <c r="F24" s="113">
        <f>Defaults!B6</f>
        <v>80</v>
      </c>
      <c r="G24" s="93" t="s">
        <v>5</v>
      </c>
      <c r="H24" s="115">
        <f>IF(OR(H20="",H21=""),MAX(2,IF(H25&lt;=4,IF(F22&lt;=2,2,ROUNDUP((H25*F22+1)/20,0)),ROUNDUP((H25*F22+1)/20,0))),"")</f>
        <v>2</v>
      </c>
      <c r="I24" s="1140" t="str">
        <f>IF(OR(H20="",H21=""),IF(H25&lt;=4,IF(F22&lt;=2,"4 Core Intel® Xeon® processor E3-1230 (3.2GHz, 8MB cache, 95W, DDR3-1333 RDIMMs, HT) or higher recommended per host","6 Core Intel® Xeon® processor E5-2420 (1.9 GHz, 15MB Cache, 95W, DDR3-1333 RDIMMs, HT) or higher recommended per host"),IF(H25&lt;=6,("6 Core Intel® Xeon® processor E5-2420 (1.9 GHz, 15MB Cache, 95W, DDR3-1333 RDIMMs, HT) or higher recommended per host"),IF(H25&lt;=8,("8 Core Intel® Xeon® processor E5-2450 (2.1GHz, 20MB cache, 95W, DDR3-1333MHz RDIMMs, HT) or higher recommended per host"),"10 Core Intel® Xeon® processor E7-2850 (2GHz, 24MB cache, 130W, DDR3-1066MHz RDIMMs, HT) or higher recommended per host"))),"")</f>
        <v>6 Core Intel® Xeon® processor E5-2420 (1.9 GHz, 15MB Cache, 95W, DDR3-1333 RDIMMs, HT) or higher recommended per host</v>
      </c>
      <c r="J24" s="1141"/>
      <c r="K24" s="1141"/>
      <c r="L24" s="1141"/>
      <c r="M24" s="1141"/>
      <c r="N24" s="1142"/>
      <c r="U24">
        <f>ROUNDUP((H9/F21),0)</f>
        <v>0</v>
      </c>
      <c r="V24" t="s">
        <v>951</v>
      </c>
      <c r="W24" s="258"/>
    </row>
    <row r="25" spans="1:23">
      <c r="A25" s="1179"/>
      <c r="B25" s="1180"/>
      <c r="C25" s="1180"/>
      <c r="D25" s="1180"/>
      <c r="E25" s="1180"/>
      <c r="F25" s="1180"/>
      <c r="G25" s="1181"/>
      <c r="H25" s="116"/>
      <c r="I25" s="1134" t="s">
        <v>698</v>
      </c>
      <c r="J25" s="1120"/>
      <c r="K25" s="1120" t="str">
        <f>IF(OR(ISBLANK(H20),ISBLANK(H21)),"",IF(ISBLANK(F26),IF(F22*H25&gt;(2*H20*H21-1),"Warning: Host vcpu allotment oversubscribed!!! Total VMs supported based on current info is ",""),IF(F26&gt;(2*H20*H21-1),"Warning: Host vcpu allotment oversubscribed!!! Total VMs supported based on current info is ","")))</f>
        <v/>
      </c>
      <c r="L25" s="1120"/>
      <c r="M25" s="1120"/>
      <c r="N25" s="201" t="str">
        <f>IF(OR(ISBLANK(H20),ISBLANK(H21),ISBLANK(K25),ISBLANK(H25)),"",IF(ISBLANK(F26),IF(F22*H25&gt;(2*H20*H21-1),ROUNDDOWN((2*H20*H21-1)/F22,0),""),IF(F26&gt;(2*H20*H21-1),ROUNDDOWN((2*H20*H21-1)/F22,0),"")))</f>
        <v/>
      </c>
      <c r="W25" s="258"/>
    </row>
    <row r="26" spans="1:23">
      <c r="A26" s="1153" t="s">
        <v>788</v>
      </c>
      <c r="B26" s="1154"/>
      <c r="C26" s="1154"/>
      <c r="D26" s="1154"/>
      <c r="E26" s="1155"/>
      <c r="F26" s="241"/>
      <c r="G26" s="248"/>
      <c r="H26" s="115">
        <f>IF(ISBLANK(F27),H25*F23+4,F27)</f>
        <v>4</v>
      </c>
      <c r="I26" s="1134" t="s">
        <v>28</v>
      </c>
      <c r="J26" s="1120"/>
      <c r="K26" s="1120" t="str">
        <f>IF(ISBLANK(H22),"",IF(H26&gt;H22,"Warning: Memory on VM Host is oversubscribed!!!",""))</f>
        <v/>
      </c>
      <c r="L26" s="1120"/>
      <c r="M26" s="1120"/>
      <c r="N26" s="1135"/>
      <c r="W26" s="258"/>
    </row>
    <row r="27" spans="1:23" ht="16.5" customHeight="1" thickBot="1">
      <c r="A27" s="1117" t="s">
        <v>789</v>
      </c>
      <c r="B27" s="1118"/>
      <c r="C27" s="1118"/>
      <c r="D27" s="1118"/>
      <c r="E27" s="1119"/>
      <c r="F27" s="250"/>
      <c r="G27" s="249" t="s">
        <v>5</v>
      </c>
      <c r="H27" s="117">
        <f>H25*F24*2</f>
        <v>0</v>
      </c>
      <c r="I27" s="1146" t="s">
        <v>29</v>
      </c>
      <c r="J27" s="1147"/>
      <c r="K27" s="469"/>
      <c r="L27" s="469"/>
      <c r="M27" s="469"/>
      <c r="N27" s="199"/>
      <c r="W27" s="258"/>
    </row>
    <row r="28" spans="1:23" ht="15.75" thickBot="1">
      <c r="A28" s="1138" t="s">
        <v>50</v>
      </c>
      <c r="B28" s="1096"/>
      <c r="C28" s="1096"/>
      <c r="D28" s="1096"/>
      <c r="E28" s="1096"/>
      <c r="F28" s="1096"/>
      <c r="G28" s="1096"/>
      <c r="H28" s="1096"/>
      <c r="I28" s="1096"/>
      <c r="J28" s="1096"/>
      <c r="K28" s="1096"/>
      <c r="L28" s="1096"/>
      <c r="M28" s="1096"/>
      <c r="N28" s="1139"/>
      <c r="V28" s="214"/>
      <c r="W28" s="273"/>
    </row>
    <row r="29" spans="1:23" ht="15" customHeight="1" thickTop="1">
      <c r="A29" s="1172" t="s">
        <v>43</v>
      </c>
      <c r="B29" s="1143"/>
      <c r="C29" s="1143"/>
      <c r="D29" s="1143"/>
      <c r="E29" s="1143"/>
      <c r="F29" s="1143"/>
      <c r="G29" s="1143"/>
      <c r="H29" s="1143"/>
      <c r="I29" s="1143"/>
      <c r="J29" s="1143"/>
      <c r="K29" s="1143"/>
      <c r="L29" s="1143"/>
      <c r="M29" s="1143"/>
      <c r="N29" s="1145"/>
      <c r="P29" s="10"/>
    </row>
    <row r="30" spans="1:23">
      <c r="A30" s="1173" t="s">
        <v>79</v>
      </c>
      <c r="B30" s="1174"/>
      <c r="C30" s="1174"/>
      <c r="D30" s="1174"/>
      <c r="E30" s="1175"/>
      <c r="F30" s="113">
        <f>F20</f>
        <v>0</v>
      </c>
      <c r="G30" s="1134" t="s">
        <v>26</v>
      </c>
      <c r="H30" s="1120"/>
      <c r="I30" s="1120"/>
      <c r="J30" s="1120"/>
      <c r="K30" s="1120"/>
      <c r="L30" s="1120"/>
      <c r="M30" s="1120"/>
      <c r="N30" s="1135"/>
      <c r="P30" s="10"/>
    </row>
    <row r="31" spans="1:23">
      <c r="A31" s="1176"/>
      <c r="B31" s="1177"/>
      <c r="C31" s="1177"/>
      <c r="D31" s="1177"/>
      <c r="E31" s="1178"/>
      <c r="F31" s="113">
        <f>F21</f>
        <v>24</v>
      </c>
      <c r="G31" s="1134" t="s">
        <v>1106</v>
      </c>
      <c r="H31" s="1120"/>
      <c r="I31" s="1120"/>
      <c r="J31" s="1120"/>
      <c r="K31" s="1120"/>
      <c r="L31" s="1120"/>
      <c r="M31" s="1120"/>
      <c r="N31" s="1135"/>
    </row>
    <row r="32" spans="1:23">
      <c r="A32" s="1171" t="s">
        <v>80</v>
      </c>
      <c r="B32" s="1120"/>
      <c r="C32" s="1120"/>
      <c r="D32" s="1120"/>
      <c r="E32" s="1170"/>
      <c r="F32" s="113">
        <f>F22</f>
        <v>4</v>
      </c>
      <c r="G32" s="1134" t="str">
        <f>IF(Defaults!B10=0,"Quad Core Intel® Xeon® processor X5550 (8MB L3 cache, 95W, DDR3-1333 RDIMMs, HT, Turbo 2/2/3/3) or higher","Quad Core Intel® Xeon® processor X5550 (8MB L3 cache, 95W, DDR3-1333 RDIMMs, HT, Turbo 2/2/3/3) or higher")</f>
        <v>Quad Core Intel® Xeon® processor X5550 (8MB L3 cache, 95W, DDR3-1333 RDIMMs, HT, Turbo 2/2/3/3) or higher</v>
      </c>
      <c r="H32" s="1120"/>
      <c r="I32" s="1120"/>
      <c r="J32" s="1120"/>
      <c r="K32" s="1120"/>
      <c r="L32" s="1120"/>
      <c r="M32" s="1120"/>
      <c r="N32" s="1135"/>
      <c r="T32" t="str">
        <f>IF(H25&lt;=4,IF(F22&lt;=2,"Quad Core Intel® Xeon® processor X5550 (8MB L3 cache, 95W, DDR3-1333 RDIMMs, HT, Turbo 2/2/3/3) or higher recommended per host","Six Core Intel® Xeon® processor X5670 (6 core, 2.93 GHz, 12MB L3, 95W, DDR3 PC3-10600R 9 DIMMs, HT) or higher recommended per host"),IF(H25&lt;=6,("Six Core Intel® Xeon® processor X5670 (6 core, 2.93 GHz, 12MB L3, 95W, DDR3 PC3-10600R 9 DIMMs, HT) or higher recommended per host"),"Eight Core Intel® Xeon® processor X7550 (18MB L3 cache,130W, DDR3 PC3-10600R DIMMs, HT) or higher recommended per host"))</f>
        <v>Six Core Intel® Xeon® processor X5670 (6 core, 2.93 GHz, 12MB L3, 95W, DDR3 PC3-10600R 9 DIMMs, HT) or higher recommended per host</v>
      </c>
    </row>
    <row r="33" spans="1:39">
      <c r="A33" s="1171" t="s">
        <v>81</v>
      </c>
      <c r="B33" s="1120"/>
      <c r="C33" s="1120"/>
      <c r="D33" s="1120"/>
      <c r="E33" s="1170"/>
      <c r="F33" s="746">
        <f>F23</f>
        <v>10</v>
      </c>
      <c r="G33" s="1134" t="s">
        <v>5</v>
      </c>
      <c r="H33" s="1120"/>
      <c r="I33" s="1120"/>
      <c r="J33" s="1120"/>
      <c r="K33" s="1120"/>
      <c r="L33" s="1120"/>
      <c r="M33" s="1120"/>
      <c r="N33" s="1135"/>
      <c r="U33" s="29" t="s">
        <v>700</v>
      </c>
      <c r="V33" s="251" t="str">
        <f>IF(OR(ISBLANK(H20),ISBLANK(H21)),"",IF(ISBLANK(F26),IF(F22*H25&gt;(2*H20*H21-1),"Yes","No"),IF(F26&gt;(2*H20*H21-1),"Yes","No")))</f>
        <v/>
      </c>
      <c r="W33">
        <f>IF(V33="No",0,1)</f>
        <v>1</v>
      </c>
    </row>
    <row r="34" spans="1:39" ht="14.65" thickBot="1">
      <c r="A34" s="1159" t="s">
        <v>82</v>
      </c>
      <c r="B34" s="1160"/>
      <c r="C34" s="1160"/>
      <c r="D34" s="1160"/>
      <c r="E34" s="1161"/>
      <c r="F34" s="706">
        <f>Defaults!B7</f>
        <v>2</v>
      </c>
      <c r="G34" s="1162" t="s">
        <v>27</v>
      </c>
      <c r="H34" s="1160"/>
      <c r="I34" s="1160"/>
      <c r="J34" s="1160"/>
      <c r="K34" s="1160"/>
      <c r="L34" s="1160"/>
      <c r="M34" s="1160"/>
      <c r="N34" s="1163"/>
      <c r="U34" s="29" t="s">
        <v>699</v>
      </c>
      <c r="V34" s="251" t="str">
        <f>IF(ISBLANK(H22),"",IF(H26&gt;H22,"Yes","No"))</f>
        <v/>
      </c>
      <c r="W34">
        <f>IF(V34="No",0,1)</f>
        <v>1</v>
      </c>
    </row>
    <row r="35" spans="1:39" s="832" customFormat="1" ht="120" customHeight="1" thickBot="1">
      <c r="A35" s="1156" t="s">
        <v>1226</v>
      </c>
      <c r="B35" s="1157"/>
      <c r="C35" s="1157"/>
      <c r="D35" s="1157"/>
      <c r="E35" s="1157"/>
      <c r="F35" s="1157"/>
      <c r="G35" s="1157"/>
      <c r="H35" s="1157"/>
      <c r="I35" s="1157"/>
      <c r="J35" s="1157"/>
      <c r="K35" s="1157"/>
      <c r="L35" s="1157"/>
      <c r="M35" s="1157"/>
      <c r="N35" s="1158"/>
      <c r="R35" s="84"/>
      <c r="S35" s="84"/>
      <c r="T35" s="84"/>
      <c r="U35" s="84"/>
      <c r="V35" s="84"/>
      <c r="W35" s="84"/>
      <c r="X35" s="84"/>
      <c r="Y35" s="84"/>
      <c r="Z35" s="84"/>
      <c r="AA35" s="84"/>
      <c r="AB35" s="84"/>
      <c r="AC35" s="84"/>
      <c r="AD35" s="84"/>
      <c r="AE35" s="84"/>
      <c r="AF35" s="84"/>
      <c r="AG35" s="84"/>
      <c r="AH35" s="84"/>
      <c r="AI35" s="84"/>
      <c r="AJ35" s="84"/>
      <c r="AK35" s="84"/>
      <c r="AL35" s="84"/>
      <c r="AM35" s="84"/>
    </row>
    <row r="36" spans="1:39" s="5" customFormat="1" ht="14.65" hidden="1" thickTop="1">
      <c r="A36" s="7" t="s">
        <v>83</v>
      </c>
      <c r="H36" s="12"/>
      <c r="R36"/>
      <c r="S36"/>
      <c r="T36"/>
      <c r="U36"/>
      <c r="V36"/>
      <c r="W36"/>
      <c r="X36"/>
      <c r="Y36"/>
      <c r="Z36"/>
      <c r="AA36"/>
      <c r="AB36"/>
      <c r="AC36"/>
    </row>
    <row r="37" spans="1:39" s="5" customFormat="1" hidden="1">
      <c r="A37" s="303" t="s">
        <v>773</v>
      </c>
      <c r="H37" s="12"/>
      <c r="R37"/>
      <c r="S37"/>
      <c r="T37"/>
      <c r="U37"/>
      <c r="V37"/>
      <c r="W37"/>
      <c r="X37"/>
      <c r="Y37"/>
      <c r="Z37"/>
      <c r="AA37"/>
      <c r="AB37"/>
      <c r="AC37"/>
    </row>
    <row r="38" spans="1:39" s="5" customFormat="1" hidden="1">
      <c r="A38" s="5" t="s">
        <v>774</v>
      </c>
      <c r="H38" s="12"/>
      <c r="R38"/>
      <c r="S38"/>
      <c r="T38"/>
      <c r="U38"/>
      <c r="V38"/>
      <c r="W38"/>
      <c r="X38"/>
      <c r="Y38"/>
      <c r="Z38"/>
      <c r="AA38"/>
      <c r="AB38"/>
      <c r="AC38"/>
    </row>
    <row r="39" spans="1:39" s="5" customFormat="1" hidden="1">
      <c r="H39" s="12"/>
      <c r="R39"/>
      <c r="S39"/>
      <c r="T39"/>
      <c r="U39"/>
      <c r="V39"/>
      <c r="W39"/>
      <c r="X39"/>
      <c r="Y39"/>
      <c r="Z39"/>
      <c r="AA39"/>
      <c r="AB39"/>
      <c r="AC39"/>
    </row>
    <row r="40" spans="1:39" s="5" customFormat="1" hidden="1">
      <c r="H40" s="12"/>
      <c r="R40"/>
      <c r="S40"/>
      <c r="T40"/>
      <c r="U40"/>
      <c r="V40"/>
      <c r="W40"/>
      <c r="X40"/>
      <c r="Y40"/>
      <c r="Z40"/>
      <c r="AA40"/>
      <c r="AB40"/>
      <c r="AC40"/>
    </row>
    <row r="41" spans="1:39" s="5" customFormat="1" hidden="1">
      <c r="H41" s="12"/>
      <c r="R41"/>
      <c r="S41"/>
      <c r="T41"/>
      <c r="U41"/>
      <c r="V41"/>
      <c r="W41"/>
      <c r="X41"/>
      <c r="Y41"/>
      <c r="Z41"/>
      <c r="AA41"/>
      <c r="AB41"/>
      <c r="AC41"/>
    </row>
    <row r="42" spans="1:39" s="5" customFormat="1" hidden="1">
      <c r="H42" s="12"/>
      <c r="R42"/>
      <c r="S42"/>
      <c r="T42"/>
      <c r="U42"/>
      <c r="V42"/>
      <c r="W42"/>
      <c r="X42"/>
      <c r="Y42"/>
      <c r="Z42"/>
      <c r="AA42"/>
      <c r="AB42"/>
      <c r="AC42"/>
    </row>
    <row r="43" spans="1:39" s="5" customFormat="1" hidden="1">
      <c r="H43" s="12"/>
      <c r="R43"/>
      <c r="S43"/>
      <c r="T43"/>
      <c r="U43"/>
      <c r="V43"/>
      <c r="W43"/>
      <c r="X43"/>
      <c r="Y43"/>
      <c r="Z43"/>
      <c r="AA43"/>
    </row>
    <row r="44" spans="1:39" s="5" customFormat="1" hidden="1">
      <c r="H44" s="12"/>
      <c r="R44"/>
      <c r="S44"/>
      <c r="T44"/>
      <c r="U44"/>
      <c r="V44"/>
      <c r="W44"/>
      <c r="X44"/>
      <c r="Y44"/>
      <c r="Z44"/>
      <c r="AA44"/>
    </row>
    <row r="45" spans="1:39" s="5" customFormat="1" hidden="1">
      <c r="H45" s="12"/>
      <c r="R45"/>
      <c r="S45"/>
      <c r="T45"/>
      <c r="U45"/>
      <c r="V45"/>
      <c r="W45"/>
      <c r="X45"/>
      <c r="Y45"/>
      <c r="Z45"/>
      <c r="AA45"/>
    </row>
    <row r="46" spans="1:39" s="5" customFormat="1" hidden="1">
      <c r="H46" s="12"/>
      <c r="R46"/>
      <c r="S46"/>
      <c r="T46"/>
      <c r="U46"/>
      <c r="V46"/>
      <c r="W46"/>
      <c r="X46"/>
      <c r="Y46"/>
      <c r="Z46"/>
      <c r="AA46"/>
    </row>
    <row r="47" spans="1:39" s="5" customFormat="1" hidden="1">
      <c r="H47" s="12"/>
      <c r="R47"/>
      <c r="S47"/>
      <c r="T47"/>
      <c r="U47"/>
      <c r="V47"/>
      <c r="W47"/>
      <c r="X47"/>
      <c r="Y47"/>
      <c r="Z47"/>
      <c r="AA47"/>
    </row>
    <row r="48" spans="1:39" s="5" customFormat="1" ht="14.65" hidden="1" thickTop="1">
      <c r="H48" s="12"/>
      <c r="R48"/>
      <c r="S48"/>
      <c r="T48"/>
      <c r="U48"/>
      <c r="V48"/>
      <c r="W48"/>
      <c r="X48"/>
      <c r="Y48"/>
      <c r="Z48"/>
      <c r="AA48"/>
    </row>
    <row r="49" spans="1:39" s="5" customFormat="1" hidden="1">
      <c r="H49" s="12"/>
      <c r="R49"/>
      <c r="S49"/>
      <c r="T49"/>
      <c r="U49"/>
      <c r="V49"/>
      <c r="W49"/>
      <c r="X49"/>
      <c r="Y49"/>
      <c r="Z49"/>
      <c r="AA49"/>
    </row>
    <row r="50" spans="1:39" hidden="1">
      <c r="A50" s="5"/>
      <c r="B50" s="5"/>
      <c r="C50" s="5"/>
      <c r="D50" s="5"/>
      <c r="E50" s="5"/>
      <c r="F50" s="5"/>
      <c r="G50" s="5"/>
      <c r="H50" s="12"/>
      <c r="I50" s="5"/>
      <c r="J50" s="5"/>
      <c r="K50" s="5"/>
      <c r="L50" s="5"/>
      <c r="M50" s="5"/>
      <c r="N50" s="5"/>
      <c r="AB50" s="5"/>
      <c r="AC50" s="5"/>
      <c r="AD50" s="5"/>
      <c r="AE50" s="5"/>
      <c r="AF50" s="5"/>
      <c r="AG50" s="5"/>
      <c r="AH50" s="5"/>
      <c r="AI50" s="5"/>
      <c r="AJ50" s="5"/>
      <c r="AK50" s="5"/>
      <c r="AL50" s="5"/>
      <c r="AM50" s="5"/>
    </row>
    <row r="51" spans="1:39" hidden="1">
      <c r="AB51" s="5"/>
      <c r="AC51" s="5"/>
    </row>
    <row r="52" spans="1:39" hidden="1">
      <c r="AB52" s="5"/>
      <c r="AC52" s="5"/>
    </row>
    <row r="53" spans="1:39" hidden="1">
      <c r="AB53" s="5"/>
      <c r="AC53" s="5"/>
    </row>
    <row r="54" spans="1:39" hidden="1">
      <c r="AB54" s="5"/>
      <c r="AC54" s="5"/>
    </row>
    <row r="55" spans="1:39" hidden="1">
      <c r="A55" s="5"/>
      <c r="B55" s="5"/>
      <c r="C55" s="5"/>
      <c r="D55" s="5"/>
      <c r="E55" s="5"/>
      <c r="F55" s="5"/>
      <c r="G55" s="5"/>
      <c r="H55" s="5"/>
      <c r="I55" s="5"/>
      <c r="J55" s="5"/>
      <c r="K55" s="5"/>
      <c r="L55" s="5"/>
      <c r="M55" s="5"/>
      <c r="AB55" s="5"/>
      <c r="AC55" s="5"/>
    </row>
    <row r="56" spans="1:39" hidden="1">
      <c r="A56" s="5"/>
      <c r="B56" s="5"/>
      <c r="C56" s="5"/>
      <c r="D56" s="5"/>
      <c r="E56" s="5"/>
      <c r="F56" s="5"/>
      <c r="G56" s="5"/>
      <c r="H56" s="5"/>
      <c r="I56" s="5"/>
      <c r="J56" s="5"/>
      <c r="K56" s="5"/>
      <c r="L56" s="5"/>
      <c r="M56" s="5"/>
      <c r="AB56" s="5"/>
      <c r="AC56" s="5"/>
    </row>
    <row r="57" spans="1:39" hidden="1">
      <c r="A57" s="5"/>
      <c r="B57" s="5"/>
      <c r="C57" s="5"/>
      <c r="D57" s="5"/>
      <c r="E57" s="5"/>
      <c r="F57" s="5"/>
      <c r="G57" s="5"/>
      <c r="H57" s="5"/>
      <c r="I57" s="5"/>
      <c r="J57" s="5"/>
      <c r="K57" s="5"/>
      <c r="L57" s="5"/>
      <c r="M57" s="5"/>
      <c r="AB57" s="5"/>
      <c r="AC57" s="5"/>
    </row>
    <row r="58" spans="1:39" hidden="1">
      <c r="A58" s="5"/>
      <c r="B58" s="5"/>
      <c r="C58" s="5"/>
      <c r="D58" s="5"/>
      <c r="E58" s="5"/>
      <c r="F58" s="5"/>
      <c r="G58" s="5"/>
      <c r="H58" s="5"/>
      <c r="I58" s="5"/>
      <c r="J58" s="5"/>
      <c r="K58" s="5"/>
      <c r="L58" s="5"/>
      <c r="M58" s="5"/>
    </row>
    <row r="59" spans="1:39" ht="23.25" customHeight="1">
      <c r="A59" s="5"/>
      <c r="B59" s="5"/>
      <c r="C59" s="5"/>
      <c r="D59" s="5"/>
      <c r="E59" s="5"/>
      <c r="F59" s="5"/>
      <c r="G59" s="5"/>
      <c r="H59" s="5"/>
      <c r="I59" s="5"/>
      <c r="J59" s="5"/>
      <c r="K59" s="5"/>
      <c r="L59" s="5"/>
      <c r="M59" s="5"/>
    </row>
    <row r="60" spans="1:39" ht="9.75" customHeight="1">
      <c r="A60" s="5"/>
      <c r="B60" s="5"/>
      <c r="C60" s="5"/>
      <c r="D60" s="5"/>
      <c r="E60" s="5"/>
      <c r="F60" s="5"/>
      <c r="G60" s="5"/>
      <c r="H60" s="5"/>
      <c r="I60" s="5"/>
      <c r="J60" s="5"/>
      <c r="K60" s="5"/>
      <c r="L60" s="5"/>
      <c r="M60" s="5"/>
    </row>
    <row r="61" spans="1:39" ht="18" customHeight="1"/>
  </sheetData>
  <mergeCells count="65">
    <mergeCell ref="A35:N35"/>
    <mergeCell ref="A34:E34"/>
    <mergeCell ref="G34:N34"/>
    <mergeCell ref="A19:G19"/>
    <mergeCell ref="A22:E22"/>
    <mergeCell ref="A23:E23"/>
    <mergeCell ref="A24:E24"/>
    <mergeCell ref="A33:E33"/>
    <mergeCell ref="G32:N32"/>
    <mergeCell ref="G33:N33"/>
    <mergeCell ref="M21:N21"/>
    <mergeCell ref="A29:N29"/>
    <mergeCell ref="A30:E31"/>
    <mergeCell ref="G30:N30"/>
    <mergeCell ref="A25:G25"/>
    <mergeCell ref="A32:E32"/>
    <mergeCell ref="K25:M25"/>
    <mergeCell ref="G31:N31"/>
    <mergeCell ref="A18:N18"/>
    <mergeCell ref="A28:N28"/>
    <mergeCell ref="I24:N24"/>
    <mergeCell ref="H19:N19"/>
    <mergeCell ref="I27:J27"/>
    <mergeCell ref="I20:K20"/>
    <mergeCell ref="I21:K21"/>
    <mergeCell ref="I22:J22"/>
    <mergeCell ref="M20:N20"/>
    <mergeCell ref="I25:J25"/>
    <mergeCell ref="I26:J26"/>
    <mergeCell ref="K26:N26"/>
    <mergeCell ref="K22:N22"/>
    <mergeCell ref="A26:E26"/>
    <mergeCell ref="A27:E27"/>
    <mergeCell ref="J23:K23"/>
    <mergeCell ref="A17:G17"/>
    <mergeCell ref="A21:E21"/>
    <mergeCell ref="A9:G9"/>
    <mergeCell ref="A10:G10"/>
    <mergeCell ref="I17:N17"/>
    <mergeCell ref="I11:N11"/>
    <mergeCell ref="I14:N14"/>
    <mergeCell ref="I15:N15"/>
    <mergeCell ref="I13:N13"/>
    <mergeCell ref="A11:G11"/>
    <mergeCell ref="A13:G13"/>
    <mergeCell ref="A15:G15"/>
    <mergeCell ref="A16:G16"/>
    <mergeCell ref="A14:G14"/>
    <mergeCell ref="I16:N16"/>
    <mergeCell ref="A12:N12"/>
    <mergeCell ref="I9:N9"/>
    <mergeCell ref="I10:N10"/>
    <mergeCell ref="I8:N8"/>
    <mergeCell ref="A8:G8"/>
    <mergeCell ref="A1:N1"/>
    <mergeCell ref="A5:G5"/>
    <mergeCell ref="A7:G7"/>
    <mergeCell ref="A3:G3"/>
    <mergeCell ref="I3:N3"/>
    <mergeCell ref="A4:N4"/>
    <mergeCell ref="I5:N5"/>
    <mergeCell ref="I7:N7"/>
    <mergeCell ref="A6:G6"/>
    <mergeCell ref="I6:N6"/>
    <mergeCell ref="A2:N2"/>
  </mergeCells>
  <conditionalFormatting sqref="A28:N36 A5:N5 A9:N19 A8 A24:N24 A25 K27:N27 K22 I22 A23:J23 L23:N23 H25:I26 G27:I27 A7:N7 A6 H6:I6 A20 F20:G21 A22:G22 H8:I8">
    <cfRule type="expression" dxfId="1350" priority="24">
      <formula>$H$3="No"</formula>
    </cfRule>
  </conditionalFormatting>
  <conditionalFormatting sqref="A4:N4">
    <cfRule type="expression" dxfId="1349" priority="22">
      <formula>$H$3="No"</formula>
    </cfRule>
  </conditionalFormatting>
  <conditionalFormatting sqref="K25:K26">
    <cfRule type="containsText" dxfId="1348" priority="16" stopIfTrue="1" operator="containsText" text="Warning:">
      <formula>NOT(ISERROR(SEARCH("Warning:",K25)))</formula>
    </cfRule>
  </conditionalFormatting>
  <conditionalFormatting sqref="L21">
    <cfRule type="expression" dxfId="1347" priority="13" stopIfTrue="1">
      <formula>"IF($L$19=""Other"")"</formula>
    </cfRule>
  </conditionalFormatting>
  <conditionalFormatting sqref="L20:L21">
    <cfRule type="expression" dxfId="1346" priority="14" stopIfTrue="1">
      <formula>$H$5="No"</formula>
    </cfRule>
  </conditionalFormatting>
  <conditionalFormatting sqref="H20:H22">
    <cfRule type="expression" dxfId="1345" priority="11" stopIfTrue="1">
      <formula>$H$3="No"</formula>
    </cfRule>
  </conditionalFormatting>
  <conditionalFormatting sqref="A26:A27">
    <cfRule type="expression" dxfId="1344" priority="8" stopIfTrue="1">
      <formula>AND($T$34="Not Virtualized",$T$35="No")</formula>
    </cfRule>
  </conditionalFormatting>
  <conditionalFormatting sqref="F26:F27 A26:A27">
    <cfRule type="expression" dxfId="1343" priority="25" stopIfTrue="1">
      <formula>($T$34="Not Virtualized")</formula>
    </cfRule>
  </conditionalFormatting>
  <conditionalFormatting sqref="A27">
    <cfRule type="notContainsText" dxfId="1342" priority="10" stopIfTrue="1" operator="notContains" text="vRAM in GB allocated to all VMs per host:">
      <formula>ISERROR(SEARCH("vRAM in GB allocated to all VMs per host:",A27))</formula>
    </cfRule>
  </conditionalFormatting>
  <conditionalFormatting sqref="A5:N7 A9:N54 A8 H8:N8">
    <cfRule type="expression" dxfId="1341" priority="5" stopIfTrue="1">
      <formula>$H$3="No"</formula>
    </cfRule>
  </conditionalFormatting>
  <conditionalFormatting sqref="M20:M21">
    <cfRule type="expression" dxfId="1340" priority="4" stopIfTrue="1">
      <formula>$H$3="No"</formula>
    </cfRule>
  </conditionalFormatting>
  <conditionalFormatting sqref="H3">
    <cfRule type="expression" dxfId="1339" priority="2">
      <formula>$H$3="No"</formula>
    </cfRule>
  </conditionalFormatting>
  <conditionalFormatting sqref="H3">
    <cfRule type="expression" dxfId="1338" priority="1" stopIfTrue="1">
      <formula>$H$3="No"</formula>
    </cfRule>
  </conditionalFormatting>
  <dataValidations count="3">
    <dataValidation type="list" allowBlank="1" showInputMessage="1" showErrorMessage="1" sqref="H3 H5" xr:uid="{00000000-0002-0000-0300-000000000000}">
      <formula1>$T$3:$T$5</formula1>
    </dataValidation>
    <dataValidation type="list" allowBlank="1" showInputMessage="1" showErrorMessage="1" sqref="H11" xr:uid="{00000000-0002-0000-0300-000001000000}">
      <formula1>$T$8:$T$10</formula1>
    </dataValidation>
    <dataValidation type="list" allowBlank="1" showInputMessage="1" showErrorMessage="1" sqref="H6" xr:uid="{00000000-0002-0000-0300-000003000000}">
      <formula1>$T$16:$T$19</formula1>
    </dataValidation>
  </dataValidations>
  <pageMargins left="0.7" right="0.7" top="0.75" bottom="0.75" header="0.3" footer="0.3"/>
  <pageSetup orientation="portrait" r:id="rId1"/>
  <ignoredErrors>
    <ignoredError sqref="H1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9479" r:id="rId4" name="Button 23">
              <controlPr defaultSize="0" print="0" autoFill="0" autoPict="0" macro="[0]!Reset_CTX_Info">
                <anchor moveWithCells="1">
                  <from>
                    <xdr:col>0</xdr:col>
                    <xdr:colOff>28575</xdr:colOff>
                    <xdr:row>0</xdr:row>
                    <xdr:rowOff>9525</xdr:rowOff>
                  </from>
                  <to>
                    <xdr:col>1</xdr:col>
                    <xdr:colOff>428625</xdr:colOff>
                    <xdr:row>0</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Defaults!$D$16:$D$33</xm:f>
          </x14:formula1>
          <xm:sqref>L20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2A435-0E75-4F27-8FEE-DDC24C41B8D1}">
  <sheetPr codeName="Sheet10"/>
  <dimension ref="A1:BP81"/>
  <sheetViews>
    <sheetView topLeftCell="A31" zoomScale="120" zoomScaleNormal="120" workbookViewId="0">
      <selection activeCell="C39" sqref="C39:C41"/>
    </sheetView>
  </sheetViews>
  <sheetFormatPr defaultColWidth="8.86328125" defaultRowHeight="14.25"/>
  <cols>
    <col min="1" max="1" width="22.86328125" customWidth="1"/>
    <col min="2" max="2" width="22" style="460" customWidth="1"/>
    <col min="3" max="3" width="11.3984375" customWidth="1"/>
    <col min="4" max="4" width="15" style="460" bestFit="1" customWidth="1"/>
    <col min="5" max="5" width="12.265625" customWidth="1"/>
    <col min="6" max="6" width="17.3984375" bestFit="1" customWidth="1"/>
    <col min="7" max="7" width="14.1328125" customWidth="1"/>
    <col min="8" max="8" width="11.1328125" customWidth="1"/>
    <col min="9" max="9" width="13.3984375" customWidth="1"/>
    <col min="10" max="10" width="10.86328125" customWidth="1"/>
    <col min="11" max="11" width="2.3984375" hidden="1" customWidth="1"/>
    <col min="12" max="12" width="35.3984375" hidden="1" customWidth="1"/>
    <col min="13" max="13" width="11.1328125" hidden="1" customWidth="1"/>
    <col min="14" max="14" width="13" hidden="1" customWidth="1"/>
    <col min="15" max="15" width="12.73046875" hidden="1" customWidth="1"/>
    <col min="16" max="19" width="9.1328125" hidden="1" customWidth="1"/>
    <col min="20" max="20" width="29.3984375" hidden="1" customWidth="1"/>
    <col min="21" max="21" width="29.86328125" hidden="1" customWidth="1"/>
    <col min="22" max="22" width="26" hidden="1" customWidth="1"/>
    <col min="23" max="23" width="14.1328125" hidden="1" customWidth="1"/>
    <col min="24" max="24" width="29.1328125" hidden="1" customWidth="1"/>
    <col min="25" max="25" width="3" hidden="1" customWidth="1"/>
    <col min="26" max="26" width="27.265625" hidden="1" customWidth="1"/>
    <col min="27" max="27" width="18.3984375" hidden="1" customWidth="1"/>
    <col min="28" max="28" width="18.86328125" hidden="1" customWidth="1"/>
    <col min="29" max="29" width="14.86328125" hidden="1" customWidth="1"/>
    <col min="30" max="30" width="26.265625" hidden="1" customWidth="1"/>
    <col min="31" max="31" width="9.1328125" hidden="1" customWidth="1"/>
    <col min="32" max="32" width="30.3984375" hidden="1" customWidth="1"/>
    <col min="33" max="33" width="15.3984375" hidden="1" customWidth="1"/>
    <col min="34" max="38" width="9.1328125" hidden="1" customWidth="1"/>
    <col min="39" max="39" width="10.1328125" hidden="1" customWidth="1"/>
    <col min="40" max="40" width="12.3984375" hidden="1" customWidth="1"/>
    <col min="41" max="41" width="16" style="460" hidden="1" customWidth="1"/>
    <col min="42" max="42" width="14.265625" style="460" hidden="1" customWidth="1"/>
    <col min="43" max="44" width="9.1328125" hidden="1" customWidth="1"/>
    <col min="45" max="45" width="10.1328125" hidden="1" customWidth="1"/>
    <col min="46" max="46" width="10.86328125" hidden="1" customWidth="1"/>
    <col min="47" max="47" width="12" hidden="1" customWidth="1"/>
    <col min="48" max="48" width="12.1328125" hidden="1" customWidth="1"/>
    <col min="49" max="94" width="9.1328125" customWidth="1"/>
  </cols>
  <sheetData>
    <row r="1" spans="1:68" ht="21" customHeight="1" thickBot="1">
      <c r="A1" s="820"/>
      <c r="B1" s="322"/>
      <c r="C1" s="322"/>
      <c r="D1" s="322"/>
      <c r="E1" s="322"/>
      <c r="F1" s="322"/>
      <c r="G1" s="322"/>
      <c r="H1" s="322"/>
      <c r="I1" s="322"/>
      <c r="J1" s="322"/>
      <c r="K1" s="322"/>
      <c r="L1" s="322"/>
      <c r="M1" s="322"/>
      <c r="N1" s="322"/>
      <c r="O1" s="181"/>
    </row>
    <row r="2" spans="1:68" ht="15" customHeight="1">
      <c r="A2" s="1285" t="s">
        <v>1059</v>
      </c>
      <c r="B2" s="1286"/>
      <c r="C2" s="1286"/>
      <c r="D2" s="1286"/>
      <c r="E2" s="1286"/>
      <c r="F2" s="1286"/>
      <c r="G2" s="1286"/>
      <c r="H2" s="1286"/>
      <c r="I2" s="1286"/>
      <c r="J2" s="1286"/>
      <c r="K2" s="1286"/>
      <c r="L2" s="1286"/>
      <c r="M2" s="1286"/>
      <c r="N2" s="1286"/>
      <c r="O2" s="1287"/>
    </row>
    <row r="3" spans="1:68" ht="75.75" customHeight="1" thickBot="1">
      <c r="A3" s="1288"/>
      <c r="B3" s="1289"/>
      <c r="C3" s="1289"/>
      <c r="D3" s="1289"/>
      <c r="E3" s="1289"/>
      <c r="F3" s="1289"/>
      <c r="G3" s="1289"/>
      <c r="H3" s="1289"/>
      <c r="I3" s="1289"/>
      <c r="J3" s="1289"/>
      <c r="K3" s="1289"/>
      <c r="L3" s="1289"/>
      <c r="M3" s="1289"/>
      <c r="N3" s="1289"/>
      <c r="O3" s="1290"/>
    </row>
    <row r="4" spans="1:68" ht="14.65" thickBot="1">
      <c r="A4" s="1291" t="str">
        <f>IF(AND(AG11="Not Virtualized",AG12="No"),"You have indicated your environment is not virtualized (Database Server Info tab K3 and Citrix or Terminal Server Info tab H5). Therefore no information is required in this section","Please complete all blue cells where applicable")</f>
        <v>Please complete all blue cells where applicable</v>
      </c>
      <c r="B4" s="1292"/>
      <c r="C4" s="1292"/>
      <c r="D4" s="1292"/>
      <c r="E4" s="1292"/>
      <c r="F4" s="1292"/>
      <c r="G4" s="1292"/>
      <c r="H4" s="1292"/>
      <c r="I4" s="1292"/>
      <c r="J4" s="1292"/>
      <c r="K4" s="1292"/>
      <c r="L4" s="1292"/>
      <c r="M4" s="1292"/>
      <c r="N4" s="1292"/>
      <c r="O4" s="1293"/>
    </row>
    <row r="5" spans="1:68" s="5" customFormat="1" ht="51" customHeight="1" thickBot="1">
      <c r="A5" s="1294" t="s">
        <v>1233</v>
      </c>
      <c r="B5" s="1295"/>
      <c r="C5" s="1295"/>
      <c r="D5" s="1295"/>
      <c r="E5" s="1295"/>
      <c r="F5" s="1295"/>
      <c r="G5" s="1295"/>
      <c r="H5" s="1295"/>
      <c r="I5" s="1295"/>
      <c r="J5" s="1295"/>
      <c r="K5" s="1295"/>
      <c r="L5" s="1295"/>
      <c r="M5" s="1295"/>
      <c r="N5" s="1295"/>
      <c r="O5" s="1296"/>
      <c r="P5"/>
      <c r="Q5"/>
      <c r="R5"/>
      <c r="T5" s="659" t="s">
        <v>995</v>
      </c>
      <c r="U5" s="163" t="str">
        <f>IF('Clinical Info'!H6="(PM only)", "Yes","No")</f>
        <v>No</v>
      </c>
      <c r="V5" s="163"/>
      <c r="W5" s="163"/>
      <c r="X5" s="163"/>
      <c r="Y5" s="163"/>
      <c r="Z5" s="163"/>
      <c r="AA5" s="163"/>
      <c r="AB5" s="163"/>
      <c r="AC5" s="163"/>
      <c r="AD5" s="144"/>
      <c r="AO5" s="479"/>
      <c r="AP5" s="479"/>
      <c r="AZ5"/>
      <c r="BA5"/>
      <c r="BB5"/>
      <c r="BC5"/>
      <c r="BD5"/>
      <c r="BE5"/>
      <c r="BF5"/>
      <c r="BG5"/>
      <c r="BH5"/>
      <c r="BI5"/>
      <c r="BJ5"/>
      <c r="BK5"/>
      <c r="BL5"/>
      <c r="BM5"/>
      <c r="BN5"/>
      <c r="BO5"/>
      <c r="BP5"/>
    </row>
    <row r="6" spans="1:68" ht="30" customHeight="1" thickBot="1">
      <c r="A6" s="1282" t="s">
        <v>981</v>
      </c>
      <c r="B6" s="1283"/>
      <c r="C6" s="1283"/>
      <c r="D6" s="1283"/>
      <c r="E6" s="1283"/>
      <c r="F6" s="1283"/>
      <c r="G6" s="1283"/>
      <c r="H6" s="1283"/>
      <c r="I6" s="1283"/>
      <c r="J6" s="1284"/>
      <c r="K6" s="665"/>
      <c r="L6" s="1283" t="s">
        <v>1026</v>
      </c>
      <c r="M6" s="1283"/>
      <c r="N6" s="1283"/>
      <c r="O6" s="1284"/>
      <c r="T6" s="629"/>
      <c r="Y6" s="36"/>
      <c r="AD6" s="339"/>
      <c r="AF6" t="s">
        <v>996</v>
      </c>
    </row>
    <row r="7" spans="1:68" ht="51.75" customHeight="1" thickBot="1">
      <c r="A7" s="788" t="s">
        <v>980</v>
      </c>
      <c r="B7" s="788" t="s">
        <v>1057</v>
      </c>
      <c r="C7" s="660" t="s">
        <v>31</v>
      </c>
      <c r="D7" s="660" t="s">
        <v>41</v>
      </c>
      <c r="E7" s="322"/>
      <c r="F7" s="788" t="s">
        <v>1017</v>
      </c>
      <c r="G7" s="788" t="s">
        <v>1057</v>
      </c>
      <c r="H7" s="660" t="s">
        <v>31</v>
      </c>
      <c r="I7" s="660" t="s">
        <v>41</v>
      </c>
      <c r="J7" s="181"/>
      <c r="K7" s="666"/>
      <c r="L7" s="1312" t="s">
        <v>887</v>
      </c>
      <c r="M7" s="1313"/>
      <c r="N7" s="1314"/>
      <c r="O7" s="668">
        <f>'Citrix or Terminal Server Info'!H9</f>
        <v>0</v>
      </c>
      <c r="T7" s="1232" t="s">
        <v>1004</v>
      </c>
      <c r="U7" s="1233"/>
      <c r="V7" s="1233"/>
      <c r="W7" s="1233"/>
      <c r="Y7" s="36"/>
      <c r="Z7" s="1233" t="s">
        <v>993</v>
      </c>
      <c r="AA7" s="1233"/>
      <c r="AB7" s="1233"/>
      <c r="AC7" s="1233"/>
      <c r="AD7" s="339"/>
      <c r="AF7">
        <f>IF(OR('Clinical Info'!H6="(EMR only)",'Clinical Info'!H6="(PM+EMR)"),'Virtualized Config Checklist'!U22,IF('Clinical Info'!H6="(PM Only)",'Virtualized Config Checklist'!AA22,-1))</f>
        <v>-1</v>
      </c>
    </row>
    <row r="8" spans="1:68" ht="36.75" customHeight="1" thickBot="1">
      <c r="A8" s="639" t="s">
        <v>32</v>
      </c>
      <c r="B8" s="673">
        <f>IF(AND('Database Server Info'!K4="Yes",'Clinical Info'!H9&lt;=25),AJ11,IF(OR('Clinical Info'!H6="(EMR only)",'Clinical Info'!H6="(PM+EMR)"),'Virtualized Config Checklist'!U11,IF('Clinical Info'!H6="(PM Only)",'Virtualized Config Checklist'!AA11,4)))</f>
        <v>4</v>
      </c>
      <c r="C8" s="675"/>
      <c r="D8" s="727" t="str">
        <f>IF(C8="","&lt;--Enter Data",IF(C8&gt;=B8,"Yes","No"))</f>
        <v>&lt;--Enter Data</v>
      </c>
      <c r="F8" s="646" t="s">
        <v>32</v>
      </c>
      <c r="G8" s="676">
        <f>IF(AND('Database Server Info'!K4="Yes",'Clinical Info'!H9&lt;=25),"",IF(OR('Clinical Info'!H6="(EMR only)",'Clinical Info'!H6="(PM+EMR)"),'Virtualized Config Checklist'!U21,IF('Clinical Info'!H6="(PM Only)",'Virtualized Config Checklist'!AA21,4)))</f>
        <v>4</v>
      </c>
      <c r="H8" s="675"/>
      <c r="I8" s="728" t="str">
        <f>IF(H8="","&lt;--Enter Data",IF(H8&gt;=G8,"Yes","No"))</f>
        <v>&lt;--Enter Data</v>
      </c>
      <c r="J8" s="339"/>
      <c r="K8" s="670"/>
      <c r="L8" s="669" t="s">
        <v>112</v>
      </c>
      <c r="M8" s="789" t="s">
        <v>1057</v>
      </c>
      <c r="N8" s="661" t="s">
        <v>31</v>
      </c>
      <c r="O8" s="661" t="s">
        <v>41</v>
      </c>
      <c r="T8" s="1274" t="s">
        <v>984</v>
      </c>
      <c r="U8" s="1275"/>
      <c r="V8" s="1275"/>
      <c r="W8" t="s">
        <v>987</v>
      </c>
      <c r="Y8" s="36"/>
      <c r="Z8" s="1274" t="s">
        <v>984</v>
      </c>
      <c r="AA8" s="1275"/>
      <c r="AB8" s="1275"/>
      <c r="AC8" t="s">
        <v>987</v>
      </c>
      <c r="AD8" s="339"/>
    </row>
    <row r="9" spans="1:68" ht="14.65" thickBot="1">
      <c r="A9" s="640" t="s">
        <v>33</v>
      </c>
      <c r="B9" s="674">
        <f>IF(AND('Database Server Info'!K4="Yes",'Clinical Info'!H9&lt;=25),AJ12,IF(OR('Clinical Info'!H6="(EMR only)",'Clinical Info'!H6="(PM+EMR)"),'Virtualized Config Checklist'!U15,IF('Clinical Info'!H6="(PM Only)",'Virtualized Config Checklist'!AA15,12)))</f>
        <v>12</v>
      </c>
      <c r="C9" s="675"/>
      <c r="D9" s="727" t="str">
        <f>IF(C9="","&lt;--Enter Data",IF(C9&gt;=B9,"Yes","No"))</f>
        <v>&lt;--Enter Data</v>
      </c>
      <c r="F9" s="646" t="s">
        <v>33</v>
      </c>
      <c r="G9" s="677">
        <f>IF(AND('Database Server Info'!K4="Yes",'Clinical Info'!H9&lt;=25),"",IF(OR('Clinical Info'!H6="(EMR only)",'Clinical Info'!H6="(PM+EMR)"),'Virtualized Config Checklist'!U22,IF('Clinical Info'!H6="(PM Only)",'Virtualized Config Checklist'!AA22,12)))</f>
        <v>12</v>
      </c>
      <c r="H9" s="675"/>
      <c r="I9" s="728" t="str">
        <f>IF(H9="","&lt;--Enter Data",IF(H9&gt;=G9,"Yes","No"))</f>
        <v>&lt;--Enter Data</v>
      </c>
      <c r="J9" s="339"/>
      <c r="K9" s="670"/>
      <c r="L9" s="672" t="s">
        <v>1028</v>
      </c>
      <c r="M9" s="681">
        <f>'Citrix or Terminal Server Info'!F22</f>
        <v>4</v>
      </c>
      <c r="N9" s="671"/>
      <c r="O9" s="728" t="str">
        <f>IF('Citrix or Terminal Server Info'!$H$3="No","Not Needed",IF(N9="","&lt;--Enter Data",IF(N9&gt;=M9,"Yes","No")))</f>
        <v>&lt;--Enter Data</v>
      </c>
      <c r="T9" s="649" t="s">
        <v>986</v>
      </c>
      <c r="U9" s="650">
        <f>'Clinical Info'!H9</f>
        <v>0</v>
      </c>
      <c r="W9" s="651">
        <v>55</v>
      </c>
      <c r="X9" s="652" t="s">
        <v>858</v>
      </c>
      <c r="Y9" s="36"/>
      <c r="Z9" s="460" t="s">
        <v>986</v>
      </c>
      <c r="AA9" s="650">
        <f>U9</f>
        <v>0</v>
      </c>
      <c r="AC9" s="651">
        <v>55</v>
      </c>
      <c r="AD9" s="653" t="s">
        <v>858</v>
      </c>
    </row>
    <row r="10" spans="1:68" ht="14.65" thickBot="1">
      <c r="A10" s="688" t="s">
        <v>34</v>
      </c>
      <c r="B10" s="690">
        <f>IF(AND('Database Server Info'!K4="Yes",'Clinical Info'!H9&lt;=25),AJ13,ROUNDUP('Database Server Info'!K14,0))</f>
        <v>0</v>
      </c>
      <c r="C10" s="730"/>
      <c r="D10" s="727" t="str">
        <f>IF(C10="","&lt;--Enter Data",IF(C10&gt;=B10,"Yes","No"))</f>
        <v>&lt;--Enter Data</v>
      </c>
      <c r="F10" s="687" t="s">
        <v>34</v>
      </c>
      <c r="G10" s="691">
        <f>IF(AND('Database Server Info'!K4="Yes",'Clinical Info'!H9&lt;=25),"",50+10+0.25*G9)</f>
        <v>63</v>
      </c>
      <c r="H10" s="730"/>
      <c r="I10" s="727" t="str">
        <f>IF(H10="","&lt;--Enter Data",IF(H10&gt;=G10,"Yes","No"))</f>
        <v>&lt;--Enter Data</v>
      </c>
      <c r="J10" s="339"/>
      <c r="K10" s="670"/>
      <c r="L10" s="672" t="s">
        <v>1029</v>
      </c>
      <c r="M10" s="681">
        <f>'Citrix or Terminal Server Info'!F23</f>
        <v>10</v>
      </c>
      <c r="N10" s="821"/>
      <c r="O10" s="728" t="str">
        <f>IF('Citrix or Terminal Server Info'!$H$3="No","Not Needed",IF(N10="","&lt;--Enter Data",IF(N10&gt;=M10,"Yes","No")))</f>
        <v>&lt;--Enter Data</v>
      </c>
      <c r="T10" s="1278" t="s">
        <v>985</v>
      </c>
      <c r="U10" s="1279"/>
      <c r="V10" s="1280"/>
      <c r="W10">
        <v>6</v>
      </c>
      <c r="X10" t="s">
        <v>858</v>
      </c>
      <c r="Y10" s="36"/>
      <c r="Z10" s="1276" t="s">
        <v>985</v>
      </c>
      <c r="AA10" s="1277"/>
      <c r="AC10">
        <v>4</v>
      </c>
      <c r="AD10" s="339" t="s">
        <v>858</v>
      </c>
      <c r="AF10" t="s">
        <v>1023</v>
      </c>
      <c r="AI10" t="s">
        <v>1065</v>
      </c>
    </row>
    <row r="11" spans="1:68" ht="34.5" customHeight="1" thickBot="1">
      <c r="A11" s="1315" t="s">
        <v>1031</v>
      </c>
      <c r="B11" s="1316"/>
      <c r="C11" s="1316"/>
      <c r="D11" s="1317"/>
      <c r="J11" s="339"/>
      <c r="K11" s="670"/>
      <c r="L11" s="672" t="s">
        <v>930</v>
      </c>
      <c r="M11" s="682">
        <f>'Citrix or Terminal Server Info'!F24</f>
        <v>80</v>
      </c>
      <c r="N11" s="821"/>
      <c r="O11" s="728" t="str">
        <f>IF('Citrix or Terminal Server Info'!$H$3="No","Not Needed",IF(N11="","&lt;--Enter Data",IF(N11&gt;=M11,"Yes","No")))</f>
        <v>&lt;--Enter Data</v>
      </c>
      <c r="T11" s="712" t="s">
        <v>977</v>
      </c>
      <c r="U11" s="713">
        <f>IF('Database Server Info'!M11="Yes",(V11+2),V11)</f>
        <v>6</v>
      </c>
      <c r="V11" s="714">
        <f>IF(MOD(ROUND(((U9-W9)/W9)+W10,0),2)=0,ROUND(((U9-W9)/W9)+W10,0),ROUND(((U9-W9)/W9)+W10,0)+1)</f>
        <v>6</v>
      </c>
      <c r="W11" s="651">
        <v>12</v>
      </c>
      <c r="X11" s="652" t="s">
        <v>958</v>
      </c>
      <c r="Y11" s="36"/>
      <c r="Z11" s="629" t="s">
        <v>977</v>
      </c>
      <c r="AA11" s="642">
        <f>IF('Database Server Info'!M11="Yes",(AB11+2),AB11)</f>
        <v>6</v>
      </c>
      <c r="AB11" s="638">
        <f>IF(U9&lt;=100,6,IF(AND(U9&gt;100,U9&lt;=200),8,IF(AND(U9&gt;200,U9&lt;=500),10,IF(AND(U9&gt;500,U9&lt;=750),12,IF(AND(U9&gt;750,U9&lt;=1000),14,IF(AND(U9&gt;1000,U9&lt;=2000),16))))))</f>
        <v>6</v>
      </c>
      <c r="AC11" s="651">
        <v>12</v>
      </c>
      <c r="AD11" s="653" t="s">
        <v>958</v>
      </c>
      <c r="AF11" s="358" t="s">
        <v>482</v>
      </c>
      <c r="AG11" s="361" t="str">
        <f>'Database Server Info'!K3</f>
        <v>Select One:</v>
      </c>
      <c r="AI11" t="s">
        <v>990</v>
      </c>
      <c r="AJ11">
        <f>IF(OR('Clinical Info'!H6="(EMR only)",'Clinical Info'!H6="(PM+EMR)"),'Virtualized Config Checklist'!U11,IF('Clinical Info'!H6="(PM Only)",'Virtualized Config Checklist'!AA11,4))+IF(OR('Clinical Info'!H6="(EMR only)",'Clinical Info'!H6="(PM+EMR)"),'Virtualized Config Checklist'!U21,IF('Clinical Info'!H6="(PM Only)",'Virtualized Config Checklist'!AA21,4))/2</f>
        <v>6</v>
      </c>
    </row>
    <row r="12" spans="1:68" ht="43.5" customHeight="1" thickBot="1">
      <c r="A12" s="835" t="s">
        <v>1043</v>
      </c>
      <c r="B12" s="1297" t="str">
        <f>IF(OR('Clinical Info'!H6="(EMR Only)",'Clinical Info'!H6="(PM+EMR)"),'Virtualized Config Checklist'!U35,IF('Clinical Info'!H6="(PM Only)","No Additional GUI server Needed",""))</f>
        <v/>
      </c>
      <c r="C12" s="1298"/>
      <c r="D12" s="1299"/>
      <c r="F12" s="1241" t="str">
        <f>IF(U9&gt;100,"We require separate GUI and Interop servers for optimal performance if concurrent users &gt;100."," " )</f>
        <v xml:space="preserve"> </v>
      </c>
      <c r="G12" s="1242"/>
      <c r="H12" s="1242"/>
      <c r="I12" s="1242"/>
      <c r="J12" s="1243"/>
      <c r="K12" s="670"/>
      <c r="L12" s="672" t="s">
        <v>1030</v>
      </c>
      <c r="M12" s="681">
        <f>'Citrix or Terminal Server Info'!F21</f>
        <v>24</v>
      </c>
      <c r="N12" s="829"/>
      <c r="O12" s="728" t="str">
        <f>IF('Citrix or Terminal Server Info'!$H$3="No","Not Needed",IF(N12="","&lt;--Enter Data",IF(N12&gt;M12,"No","Yes")))</f>
        <v>&lt;--Enter Data</v>
      </c>
      <c r="T12" s="709" t="s">
        <v>958</v>
      </c>
      <c r="U12" s="710">
        <f>ROUNDUP((U9/W11)+W12,0)</f>
        <v>16</v>
      </c>
      <c r="V12" s="711"/>
      <c r="W12" s="651">
        <v>16</v>
      </c>
      <c r="X12" s="652" t="s">
        <v>958</v>
      </c>
      <c r="Y12" s="36"/>
      <c r="Z12" s="643" t="s">
        <v>958</v>
      </c>
      <c r="AA12" s="644">
        <f>IF(U9&lt;=100,20,IF(AND(U9&gt;100,U9&lt;=200),24,IF(AND(U9&gt;200,U9&lt;=300),30,IF(AND(U9&gt;300,U9&lt;=500),36,IF(AND(U9&gt;500,U9&lt;=750),42,IF(AND(U9&gt;750,U9&lt;=1000),48,IF(AND(U9&gt;1000,U9&lt;=1500),54,IF(AND(U9&gt;1500,U9&lt;=2000),60))))))))</f>
        <v>20</v>
      </c>
      <c r="AC12" s="651">
        <v>16</v>
      </c>
      <c r="AD12" s="653" t="s">
        <v>958</v>
      </c>
      <c r="AF12" s="358" t="s">
        <v>483</v>
      </c>
      <c r="AG12" s="361" t="str">
        <f>'Citrix or Terminal Server Info'!H5</f>
        <v>Select One:</v>
      </c>
      <c r="AI12" t="s">
        <v>958</v>
      </c>
      <c r="AJ12">
        <f>IF(OR('Clinical Info'!H6="(EMR Only)",'Clinical Info'!H6="(PM+EMR)"),'Virtualized Config Checklist'!U15,IF('Clinical Info'!H6="(PM Only)",'Virtualized Config Checklist'!AA15,12))+IF(OR('Clinical Info'!H6="(EMR Only)",'Clinical Info'!H6="(PM+EMR)"),'Virtualized Config Checklist'!U22,IF('Clinical Info'!H6="(PM Only)",'Virtualized Config Checklist'!AA22,12))</f>
        <v>24</v>
      </c>
    </row>
    <row r="13" spans="1:68" ht="28.9" thickBot="1">
      <c r="A13" s="1238" t="s">
        <v>1066</v>
      </c>
      <c r="B13" s="1239"/>
      <c r="C13" s="1239"/>
      <c r="D13" s="1239"/>
      <c r="E13" s="1239"/>
      <c r="F13" s="1239"/>
      <c r="G13" s="1239"/>
      <c r="H13" s="1239"/>
      <c r="I13" s="1239"/>
      <c r="J13" s="1240"/>
      <c r="K13" s="670"/>
      <c r="L13" s="672" t="s">
        <v>1027</v>
      </c>
      <c r="M13" s="683">
        <f>ROUNDUP(O7/M12,0)</f>
        <v>0</v>
      </c>
      <c r="N13" s="829"/>
      <c r="O13" s="728" t="str">
        <f>IF('Citrix or Terminal Server Info'!$H$3="No","Not Needed",IF(N13="","&lt;--Enter Data",IF(N13&gt;=M13,"Yes","No")))</f>
        <v>&lt;--Enter Data</v>
      </c>
      <c r="T13" s="824" t="s">
        <v>1055</v>
      </c>
      <c r="U13" s="825">
        <f>CEILING((('Database Server Info'!K5/1000)*U11),2)</f>
        <v>0</v>
      </c>
      <c r="V13" s="826" t="s">
        <v>1058</v>
      </c>
      <c r="W13" s="651"/>
      <c r="X13" s="652"/>
      <c r="Y13" s="36"/>
      <c r="Z13" s="822" t="s">
        <v>1055</v>
      </c>
      <c r="AA13" s="825">
        <f>CEILING((('Database Server Info'!K5/1000)*AA11),1)</f>
        <v>0</v>
      </c>
      <c r="AB13" s="826" t="s">
        <v>1058</v>
      </c>
      <c r="AC13" s="651"/>
      <c r="AD13" s="653"/>
      <c r="AI13" t="s">
        <v>45</v>
      </c>
      <c r="AJ13" s="831">
        <f>ROUNDUP('Database Server Info'!K14+(50+10+0.25*IF(OR('Clinical Info'!H6="(EMR Only)",'Clinical Info'!H6="(PM+EMR)"),'Virtualized Config Checklist'!U22,IF('Clinical Info'!H6="(PM Only)",'Virtualized Config Checklist'!AA22,12))),0)</f>
        <v>63</v>
      </c>
    </row>
    <row r="14" spans="1:68" ht="35.25" customHeight="1" thickBot="1">
      <c r="A14" s="836" t="s">
        <v>1018</v>
      </c>
      <c r="B14" s="836" t="s">
        <v>1057</v>
      </c>
      <c r="C14" s="837" t="s">
        <v>31</v>
      </c>
      <c r="D14" s="837" t="s">
        <v>41</v>
      </c>
      <c r="F14" s="1244" t="str">
        <f>IF(U9&gt;200,"We require multiple load-balanced GUI Servers if concurrent users &gt;200. 
1 GUI server is required for every 200 concurrent users"," " )</f>
        <v xml:space="preserve"> </v>
      </c>
      <c r="G14" s="1245"/>
      <c r="H14" s="1245"/>
      <c r="I14" s="1245"/>
      <c r="J14" s="1246"/>
      <c r="K14" s="666"/>
      <c r="O14" s="339"/>
      <c r="T14" s="629"/>
      <c r="U14" s="638"/>
      <c r="W14" s="651"/>
      <c r="X14" s="652"/>
      <c r="Y14" s="36"/>
      <c r="Z14" s="460"/>
      <c r="AA14" s="638"/>
      <c r="AC14" s="651"/>
      <c r="AD14" s="653"/>
    </row>
    <row r="15" spans="1:68" ht="37.5" customHeight="1" thickBot="1">
      <c r="A15" s="646" t="s">
        <v>32</v>
      </c>
      <c r="B15" s="679" t="str">
        <f>IF(OR('Clinical Info'!H6="(EMR Only)",'Clinical Info'!H6="(PM+EMR)"),'Virtualized Config Checklist'!U33,IF('Clinical Info'!H6="(PM Only)",'Virtualized Config Checklist'!AA33,""))</f>
        <v/>
      </c>
      <c r="C15" s="675"/>
      <c r="D15" s="727" t="str">
        <f>IF(C15="","&lt;--Enter Data",IF(C15&gt;=B15,"Yes","No"))</f>
        <v>&lt;--Enter Data</v>
      </c>
      <c r="F15" s="1247"/>
      <c r="G15" s="1248"/>
      <c r="H15" s="1248"/>
      <c r="I15" s="1248"/>
      <c r="J15" s="1249"/>
      <c r="K15" s="666"/>
      <c r="L15" s="828" t="s">
        <v>1064</v>
      </c>
      <c r="O15" s="339"/>
      <c r="T15" s="822" t="s">
        <v>1054</v>
      </c>
      <c r="U15" s="823">
        <f>CEILING('Database Server Info'!K5/600,1)*U12</f>
        <v>0</v>
      </c>
      <c r="W15" s="651"/>
      <c r="X15" s="652"/>
      <c r="Y15" s="36"/>
      <c r="Z15" s="822" t="s">
        <v>1054</v>
      </c>
      <c r="AA15" s="638">
        <f>CEILING('Database Server Info'!K5/600,1)*AA12</f>
        <v>0</v>
      </c>
      <c r="AC15" s="651"/>
      <c r="AD15" s="653"/>
    </row>
    <row r="16" spans="1:68" ht="32.25" customHeight="1" thickBot="1">
      <c r="A16" s="646" t="s">
        <v>33</v>
      </c>
      <c r="B16" s="680" t="str">
        <f>IF(OR('Clinical Info'!H6="(EMR Only)",'Clinical Info'!H6="(PM+EMR)"),'Virtualized Config Checklist'!U34,IF('Clinical Info'!H6="(PM Only)",'Virtualized Config Checklist'!AA34,""))</f>
        <v/>
      </c>
      <c r="C16" s="675"/>
      <c r="D16" s="727" t="str">
        <f>IF(C16="","&lt;--Enter Data",IF(C16&gt;=B16,"Yes","No"))</f>
        <v>&lt;--Enter Data</v>
      </c>
      <c r="F16" s="1250" t="s">
        <v>1128</v>
      </c>
      <c r="G16" s="1251"/>
      <c r="H16" s="1251"/>
      <c r="I16" s="1251"/>
      <c r="J16" s="1252"/>
      <c r="K16" s="666"/>
      <c r="O16" s="339"/>
      <c r="T16" s="629"/>
      <c r="U16" s="638"/>
      <c r="W16" s="651"/>
      <c r="X16" s="652"/>
      <c r="Y16" s="36"/>
      <c r="AA16" s="638"/>
      <c r="AC16" s="651"/>
      <c r="AD16" s="653"/>
    </row>
    <row r="17" spans="1:48" ht="14.65" thickBot="1">
      <c r="A17" s="687" t="s">
        <v>34</v>
      </c>
      <c r="B17" s="691">
        <f>G10</f>
        <v>63</v>
      </c>
      <c r="C17" s="730"/>
      <c r="D17" s="727" t="str">
        <f>IF(C17="","&lt;--Enter Data",IF(C17&gt;=B17,"Yes","No"))</f>
        <v>&lt;--Enter Data</v>
      </c>
      <c r="F17" s="1253"/>
      <c r="G17" s="1254"/>
      <c r="H17" s="1254"/>
      <c r="I17" s="1254"/>
      <c r="J17" s="1255"/>
      <c r="K17" s="666"/>
      <c r="O17" s="339"/>
      <c r="T17" s="629"/>
      <c r="U17" s="638"/>
      <c r="W17" s="651"/>
      <c r="X17" s="652"/>
      <c r="Y17" s="36"/>
      <c r="AA17" s="638"/>
      <c r="AC17" s="651"/>
      <c r="AD17" s="653"/>
    </row>
    <row r="18" spans="1:48" ht="21" customHeight="1" thickBot="1">
      <c r="A18" s="629"/>
      <c r="C18" s="658"/>
      <c r="D18" s="658"/>
      <c r="F18" s="1253"/>
      <c r="G18" s="1254"/>
      <c r="H18" s="1254"/>
      <c r="I18" s="1254"/>
      <c r="J18" s="1255"/>
      <c r="K18" s="666"/>
      <c r="O18" s="339"/>
      <c r="T18" s="629"/>
      <c r="U18" s="638"/>
      <c r="W18" s="651"/>
      <c r="X18" s="652"/>
      <c r="Y18" s="36"/>
      <c r="AA18" s="638"/>
      <c r="AC18" s="651"/>
      <c r="AD18" s="653"/>
    </row>
    <row r="19" spans="1:48" ht="31.5" customHeight="1" thickBot="1">
      <c r="A19" s="661" t="s">
        <v>976</v>
      </c>
      <c r="B19" s="788" t="s">
        <v>1057</v>
      </c>
      <c r="C19" s="660" t="s">
        <v>31</v>
      </c>
      <c r="D19" s="660" t="s">
        <v>1022</v>
      </c>
      <c r="F19" s="1253"/>
      <c r="G19" s="1254"/>
      <c r="H19" s="1254"/>
      <c r="I19" s="1254"/>
      <c r="J19" s="1255"/>
      <c r="K19" s="666"/>
      <c r="O19" s="339"/>
      <c r="T19" s="629"/>
      <c r="U19" s="638"/>
      <c r="Y19" s="36"/>
      <c r="AA19" s="638"/>
      <c r="AD19" s="339"/>
      <c r="AM19" t="s">
        <v>858</v>
      </c>
      <c r="AN19" t="s">
        <v>958</v>
      </c>
      <c r="AS19" t="s">
        <v>858</v>
      </c>
      <c r="AU19" t="s">
        <v>958</v>
      </c>
    </row>
    <row r="20" spans="1:48" ht="34.5" customHeight="1" thickBot="1">
      <c r="A20" s="646" t="s">
        <v>32</v>
      </c>
      <c r="B20" s="679" t="str">
        <f>IF(OR('Clinical Info'!H6="(EMR Only)",'Clinical Info'!H6="(PM+EMR)"),'Virtualized Config Checklist'!X33,IF('Clinical Info'!H6="(PM Only)",'Virtualized Config Checklist'!AD33,""))</f>
        <v/>
      </c>
      <c r="C20" s="675"/>
      <c r="D20" s="727" t="str">
        <f>IF(C20="","&lt;--Enter Data",IF(C20&gt;=B20,"Yes","No"))</f>
        <v>&lt;--Enter Data</v>
      </c>
      <c r="F20" s="1253"/>
      <c r="G20" s="1254"/>
      <c r="H20" s="1254"/>
      <c r="I20" s="1254"/>
      <c r="J20" s="1255"/>
      <c r="K20" s="666"/>
      <c r="O20" s="339"/>
      <c r="T20" s="1220" t="s">
        <v>989</v>
      </c>
      <c r="U20" s="1221"/>
      <c r="Y20" s="36"/>
      <c r="Z20" s="1276" t="s">
        <v>989</v>
      </c>
      <c r="AA20" s="1277"/>
      <c r="AD20" s="339"/>
      <c r="AL20">
        <v>4</v>
      </c>
      <c r="AM20">
        <f>VLOOKUP(AL20,AR20:AV22,2,FALSE)</f>
        <v>4</v>
      </c>
      <c r="AN20">
        <f>VLOOKUP(AL20,AR20:AV22,4,FALSE)</f>
        <v>12</v>
      </c>
      <c r="AS20">
        <v>100</v>
      </c>
      <c r="AT20">
        <v>500</v>
      </c>
      <c r="AU20">
        <v>100</v>
      </c>
      <c r="AV20">
        <v>500</v>
      </c>
    </row>
    <row r="21" spans="1:48" ht="46.5" customHeight="1" thickBot="1">
      <c r="A21" s="646" t="s">
        <v>33</v>
      </c>
      <c r="B21" s="679" t="str">
        <f>IF(OR('Clinical Info'!H6="(EMR Only)",'Clinical Info'!H6="(PM+EMR)"),'Virtualized Config Checklist'!X34,IF('Clinical Info'!H6="(PM Only)",'Virtualized Config Checklist'!AD34,""))</f>
        <v/>
      </c>
      <c r="C21" s="675"/>
      <c r="D21" s="727" t="str">
        <f>IF(C21="","&lt;--Enter Data",IF(C21&gt;=B21,"Yes","No"))</f>
        <v>&lt;--Enter Data</v>
      </c>
      <c r="F21" s="1256"/>
      <c r="G21" s="1257"/>
      <c r="H21" s="1257"/>
      <c r="I21" s="1257"/>
      <c r="J21" s="1258"/>
      <c r="K21" s="666"/>
      <c r="O21" s="339"/>
      <c r="T21" s="629" t="s">
        <v>990</v>
      </c>
      <c r="U21" s="642">
        <f>IF(U9&lt;25,4,IF(AND(U9&gt;=25,U9&lt;=50),4,IF(AND(U9&gt;50,U9&lt;=100),6,IF(AND(U9&gt;100,U9&lt;=200),4,IF(AND(U9&gt;200,U9&lt;=2000),4)))))</f>
        <v>4</v>
      </c>
      <c r="Y21" s="36"/>
      <c r="Z21" s="629" t="s">
        <v>990</v>
      </c>
      <c r="AA21" s="642">
        <f>IF(U9&lt;=200,6,IF(AND(U9&gt;200,U9&lt;=500),8,IF(AND(U9&gt;500,U9&lt;=750),10,IF(AND(U9&gt;750,U9&lt;=1000),12,IF(AND(U9&gt;1000,U9&lt;=2000),14)))))</f>
        <v>6</v>
      </c>
      <c r="AD21" s="339"/>
      <c r="AL21">
        <v>8</v>
      </c>
      <c r="AM21">
        <f>VLOOKUP(AL21,AR20:AV22,2,FALSE)</f>
        <v>6</v>
      </c>
      <c r="AN21">
        <f>VLOOKUP(AL21,AR21:AV22,4,FALSE)</f>
        <v>14</v>
      </c>
      <c r="AR21">
        <v>4</v>
      </c>
      <c r="AS21">
        <v>4</v>
      </c>
      <c r="AT21">
        <v>8</v>
      </c>
      <c r="AU21">
        <v>12</v>
      </c>
      <c r="AV21">
        <v>16</v>
      </c>
    </row>
    <row r="22" spans="1:48" ht="24" customHeight="1" thickBot="1">
      <c r="A22" s="646" t="s">
        <v>34</v>
      </c>
      <c r="B22" s="692">
        <f>B17</f>
        <v>63</v>
      </c>
      <c r="C22" s="830"/>
      <c r="D22" s="728" t="str">
        <f>IF(C22="","&lt;--Enter Data",IF(C22&gt;=B22,"Yes","No"))</f>
        <v>&lt;--Enter Data</v>
      </c>
      <c r="K22" s="666"/>
      <c r="N22" s="648"/>
      <c r="O22" s="339"/>
      <c r="T22" s="643" t="s">
        <v>958</v>
      </c>
      <c r="U22" s="644">
        <f>IF(U9&lt;25,12,IF(AND(U9&gt;=25,U9&lt;=50),15,IF(AND(U9&gt;50,U9&lt;=100),18,IF(AND(U9&gt;100,U9&lt;=200),13,IF(AND(U9&gt;200,U9&lt;=2000),13)))))</f>
        <v>12</v>
      </c>
      <c r="Y22" s="36"/>
      <c r="Z22" s="643" t="s">
        <v>958</v>
      </c>
      <c r="AA22" s="644">
        <f>IF(U9&lt;=500,18,IF(AND(U9&gt;500,U9&lt;=2000),18))</f>
        <v>18</v>
      </c>
      <c r="AD22" s="339"/>
      <c r="AR22">
        <v>8</v>
      </c>
      <c r="AS22">
        <v>6</v>
      </c>
      <c r="AT22">
        <v>10</v>
      </c>
      <c r="AU22">
        <v>14</v>
      </c>
      <c r="AV22">
        <v>18</v>
      </c>
    </row>
    <row r="23" spans="1:48" ht="14.65" thickBot="1">
      <c r="A23" s="843"/>
      <c r="B23"/>
      <c r="D23"/>
      <c r="J23" s="339"/>
      <c r="K23" s="666"/>
      <c r="O23" s="339"/>
      <c r="T23" s="629"/>
      <c r="U23" s="642"/>
      <c r="Y23" s="36"/>
      <c r="Z23" s="629"/>
      <c r="AA23" s="642"/>
      <c r="AD23" s="339"/>
    </row>
    <row r="24" spans="1:48" ht="21.4" thickBot="1">
      <c r="A24" s="1259" t="s">
        <v>1123</v>
      </c>
      <c r="B24" s="1260"/>
      <c r="C24" s="1260"/>
      <c r="D24" s="1260"/>
      <c r="E24" s="1260"/>
      <c r="F24" s="1260"/>
      <c r="G24" s="1261"/>
      <c r="J24" s="339"/>
      <c r="K24" s="666"/>
      <c r="O24" s="339"/>
      <c r="T24" s="629"/>
      <c r="U24" s="642"/>
      <c r="Y24" s="36"/>
      <c r="Z24" s="629"/>
      <c r="AA24" s="642"/>
      <c r="AD24" s="339"/>
    </row>
    <row r="25" spans="1:48" ht="28.9" thickBot="1">
      <c r="A25" s="844" t="s">
        <v>1122</v>
      </c>
      <c r="B25" s="844" t="s">
        <v>1130</v>
      </c>
      <c r="C25" s="844" t="s">
        <v>1138</v>
      </c>
      <c r="D25" s="844" t="s">
        <v>1134</v>
      </c>
      <c r="E25" s="844" t="s">
        <v>1135</v>
      </c>
      <c r="F25" s="844" t="s">
        <v>1136</v>
      </c>
      <c r="G25" s="844" t="s">
        <v>1137</v>
      </c>
      <c r="J25" s="339"/>
      <c r="K25" s="666"/>
      <c r="O25" s="339"/>
      <c r="T25" s="629"/>
      <c r="U25" s="642"/>
      <c r="Y25" s="36"/>
      <c r="Z25" s="629"/>
      <c r="AA25" s="642"/>
      <c r="AD25" s="339"/>
    </row>
    <row r="26" spans="1:48" ht="30.75" customHeight="1" thickBot="1">
      <c r="A26" s="646" t="s">
        <v>1129</v>
      </c>
      <c r="B26" s="1262" t="s">
        <v>1133</v>
      </c>
      <c r="C26" s="646">
        <v>4</v>
      </c>
      <c r="D26" s="646">
        <v>6</v>
      </c>
      <c r="E26" s="646">
        <v>8</v>
      </c>
      <c r="F26" s="646">
        <v>10</v>
      </c>
      <c r="G26" s="646">
        <v>12</v>
      </c>
      <c r="J26" s="339"/>
      <c r="K26" s="666"/>
      <c r="O26" s="339"/>
      <c r="T26" s="629"/>
      <c r="U26" s="642"/>
      <c r="Y26" s="36"/>
      <c r="Z26" s="629"/>
      <c r="AA26" s="642"/>
      <c r="AD26" s="339"/>
    </row>
    <row r="27" spans="1:48" ht="32.25" customHeight="1" thickBot="1">
      <c r="A27" s="646" t="s">
        <v>33</v>
      </c>
      <c r="B27" s="1263"/>
      <c r="C27" s="646">
        <v>8</v>
      </c>
      <c r="D27" s="646">
        <v>8</v>
      </c>
      <c r="E27" s="646">
        <v>10</v>
      </c>
      <c r="F27" s="646">
        <v>12</v>
      </c>
      <c r="G27" s="646">
        <v>14</v>
      </c>
      <c r="J27" s="339"/>
      <c r="K27" s="666"/>
      <c r="O27" s="339"/>
      <c r="T27" s="629"/>
      <c r="U27" s="642"/>
      <c r="Y27" s="36"/>
      <c r="Z27" s="629"/>
      <c r="AA27" s="642"/>
      <c r="AD27" s="339"/>
    </row>
    <row r="28" spans="1:48" ht="14.65" thickBot="1">
      <c r="A28" s="646" t="s">
        <v>34</v>
      </c>
      <c r="B28" s="1264"/>
      <c r="C28" s="861">
        <v>150</v>
      </c>
      <c r="D28" s="656">
        <v>150</v>
      </c>
      <c r="E28" s="656">
        <v>150</v>
      </c>
      <c r="F28" s="656">
        <v>150</v>
      </c>
      <c r="G28" s="847">
        <v>150</v>
      </c>
      <c r="J28" s="339"/>
      <c r="K28" s="666"/>
      <c r="O28" s="339"/>
      <c r="T28" s="629"/>
      <c r="U28" s="642"/>
      <c r="Y28" s="36"/>
      <c r="Z28" s="629"/>
      <c r="AA28" s="642"/>
      <c r="AD28" s="339"/>
    </row>
    <row r="29" spans="1:48" ht="14.65" thickBot="1">
      <c r="A29" s="664"/>
      <c r="B29" s="866"/>
      <c r="C29" s="867"/>
      <c r="D29" s="867"/>
      <c r="E29" s="867"/>
      <c r="F29" s="867"/>
      <c r="G29" s="862"/>
      <c r="J29" s="339"/>
      <c r="K29" s="666"/>
      <c r="O29" s="339"/>
      <c r="U29" s="638"/>
      <c r="Y29" s="36"/>
      <c r="Z29" s="629"/>
      <c r="AA29" s="642"/>
      <c r="AD29" s="339"/>
    </row>
    <row r="30" spans="1:48" ht="21.4" thickBot="1">
      <c r="A30" s="1265" t="s">
        <v>1192</v>
      </c>
      <c r="B30" s="1266"/>
      <c r="C30" s="1266"/>
      <c r="D30" s="1266"/>
      <c r="E30" s="1266"/>
      <c r="F30" s="1266"/>
      <c r="G30" s="1267"/>
      <c r="J30" s="339"/>
      <c r="K30" s="666"/>
      <c r="O30" s="339"/>
      <c r="U30" s="638"/>
      <c r="Y30" s="36"/>
      <c r="Z30" s="629"/>
      <c r="AA30" s="642"/>
      <c r="AD30" s="339"/>
    </row>
    <row r="31" spans="1:48">
      <c r="A31" s="1268" t="s">
        <v>1195</v>
      </c>
      <c r="B31" s="1269"/>
      <c r="C31" s="1269"/>
      <c r="D31" s="1269"/>
      <c r="E31" s="1269"/>
      <c r="F31" s="1269"/>
      <c r="G31" s="1270"/>
      <c r="J31" s="339"/>
      <c r="K31" s="666"/>
      <c r="O31" s="339"/>
      <c r="U31" s="638"/>
      <c r="Y31" s="36"/>
      <c r="Z31" s="629"/>
      <c r="AA31" s="642"/>
      <c r="AD31" s="339"/>
    </row>
    <row r="32" spans="1:48" ht="21" customHeight="1" thickBot="1">
      <c r="A32" s="1271"/>
      <c r="B32" s="1272"/>
      <c r="C32" s="1272"/>
      <c r="D32" s="1272"/>
      <c r="E32" s="1272"/>
      <c r="F32" s="1272"/>
      <c r="G32" s="1273"/>
      <c r="J32" s="339"/>
      <c r="K32" s="666"/>
      <c r="O32" s="339"/>
      <c r="U32" s="638"/>
      <c r="Y32" s="36"/>
      <c r="Z32" s="629"/>
      <c r="AA32" s="642"/>
      <c r="AD32" s="339"/>
    </row>
    <row r="33" spans="1:48" ht="30.75" customHeight="1" thickBot="1">
      <c r="A33" s="1282" t="s">
        <v>982</v>
      </c>
      <c r="B33" s="1283"/>
      <c r="C33" s="1283"/>
      <c r="D33" s="1283"/>
      <c r="E33" s="1283"/>
      <c r="F33" s="1283"/>
      <c r="G33" s="1283"/>
      <c r="H33" s="1283"/>
      <c r="I33" s="1283"/>
      <c r="J33" s="1284"/>
      <c r="K33" s="666"/>
      <c r="O33" s="339"/>
      <c r="T33" s="23" t="s">
        <v>990</v>
      </c>
      <c r="U33" s="834" t="str">
        <f>IF(U9&lt;=100,"Separate Interop Server Not Recommended",IF(AND(U9&gt;100,U9&lt;=200),6,IF(AND(U9&gt;200,U9&lt;=300),6,IF(AND(U9&gt;300,U9&lt;=500),8,IF(AND(U9&gt;500,U9&lt;=750),8,IF(AND(U9&gt;750,U9&lt;=1000),10,IF(AND(U9&gt;1000,U9&lt;=1500),12,IF(AND(U9&gt;1500,U9&lt;=2000),14))))))))</f>
        <v>Separate Interop Server Not Recommended</v>
      </c>
      <c r="W33" s="629" t="s">
        <v>990</v>
      </c>
      <c r="X33" s="645" t="str">
        <f>IF(U9&lt;=220,"Load Balancer Not Required",IF(AND(U9&gt;=220,U9&lt;=1000),4,IF(AND(U9&gt;1000,U9&lt;=2000),6)))</f>
        <v>Load Balancer Not Required</v>
      </c>
      <c r="Y33" s="36"/>
      <c r="Z33" s="629" t="s">
        <v>990</v>
      </c>
      <c r="AA33" s="645" t="s">
        <v>994</v>
      </c>
      <c r="AC33" s="629" t="s">
        <v>990</v>
      </c>
      <c r="AD33" s="645" t="s">
        <v>1000</v>
      </c>
    </row>
    <row r="34" spans="1:48" ht="28.9" thickBot="1">
      <c r="A34" s="1235" t="s">
        <v>1056</v>
      </c>
      <c r="B34" s="1236"/>
      <c r="C34" s="1236"/>
      <c r="D34" s="1236"/>
      <c r="E34" s="1236"/>
      <c r="F34" s="1236"/>
      <c r="G34" s="1236"/>
      <c r="H34" s="1236"/>
      <c r="I34" s="1236"/>
      <c r="J34" s="1237"/>
      <c r="K34" s="666"/>
      <c r="O34" s="339"/>
      <c r="T34" s="23" t="s">
        <v>958</v>
      </c>
      <c r="U34" s="834" t="str">
        <f>IF('Clinical Info'!H22 = "Yes",((IF(U9&lt;=100,"Separate Interop Server Not Recommended",IF(AND(U9&gt;100,U9&lt;=200),21,IF(AND(U9&gt;200,U9&lt;=300),21,IF(AND(U9&gt;300,U9&lt;=500),26,IF(AND(U9&gt;500,U9&lt;=750),26,IF(AND(U9&gt;750,U9&lt;=1000),29,IF(AND(U9&gt;1000,U9&lt;=1500),32,IF(AND(U9&gt;1500,U9&lt;=2000),32)))))))))),((IF(U9&lt;=100,"Separate Interop Server Not Recommended",IF(AND(U9&gt;100,U9&lt;=200),13,IF(AND(U9&gt;200,U9&lt;=300),13,IF(AND(U9&gt;300,U9&lt;=500),18,IF(AND(U9&gt;500,U9&lt;=750),18,IF(AND(U9&gt;750,U9&lt;=1000),21,IF(AND(U9&gt;1000,U9&lt;=1500),24,IF(AND(U9&gt;1500,U9&lt;=2000),24)))))))))))</f>
        <v>Separate Interop Server Not Recommended</v>
      </c>
      <c r="V34" s="834" t="str">
        <f>IF(V9&lt;=100,"Separate Interop Server Not Recommended",IF(AND(V9&gt;100,V9&lt;=200),13,IF(AND(V9&gt;200,V9&lt;=300),13,IF(AND(V9&gt;300,V9&lt;=500),18,IF(AND(V9&gt;500,V9&lt;=750),18,IF(AND(V9&gt;750,V9&lt;=1000),21,IF(AND(V9&gt;1000,V9&lt;=1500),24,IF(AND(V9&gt;1500,V9&lt;=2000),24))))))))</f>
        <v>Separate Interop Server Not Recommended</v>
      </c>
      <c r="W34" s="643" t="s">
        <v>958</v>
      </c>
      <c r="X34" s="644" t="str">
        <f>IF(U9&lt;=220,"Load Balancer Not Required",IF(AND(U9&gt;=220,U9&lt;=1000),8,IF(AND(U9&gt;1000,U9&lt;=2000),12)))</f>
        <v>Load Balancer Not Required</v>
      </c>
      <c r="Y34" s="36"/>
      <c r="Z34" s="643" t="s">
        <v>958</v>
      </c>
      <c r="AA34" s="645" t="s">
        <v>994</v>
      </c>
      <c r="AC34" s="643" t="s">
        <v>958</v>
      </c>
      <c r="AD34" s="645" t="s">
        <v>1000</v>
      </c>
    </row>
    <row r="35" spans="1:48" ht="19.5" customHeight="1">
      <c r="A35" s="1302" t="s">
        <v>1024</v>
      </c>
      <c r="B35" s="1303"/>
      <c r="C35" s="1300"/>
      <c r="D35" s="1306" t="s">
        <v>1025</v>
      </c>
      <c r="E35" s="1307"/>
      <c r="F35" s="1307"/>
      <c r="G35" s="1307"/>
      <c r="H35" s="1307"/>
      <c r="I35" s="1307"/>
      <c r="J35" s="1308"/>
      <c r="K35" s="665"/>
      <c r="O35" s="339"/>
      <c r="T35" s="629" t="s">
        <v>997</v>
      </c>
      <c r="U35" s="460" t="str">
        <f>IF(U9&lt;=220,"No Additonal GUI server needed",IF(AND(U9&gt;220,U9&lt;=400),2,IF(AND(U9&gt;400,U9&lt;=600),3,IF(AND(U9&gt;600,U9&lt;=800),4,IF(AND(U9&gt;800,U9&lt;=1000),5,IF(AND(U9&gt;1000,U9&lt;=1500),8,IF(AND(U9&gt;1500,U9&lt;=2000),10)))))))</f>
        <v>No Additonal GUI server needed</v>
      </c>
      <c r="V35" s="638"/>
      <c r="W35" s="638"/>
      <c r="Y35" s="36"/>
      <c r="AD35" s="339"/>
    </row>
    <row r="36" spans="1:48" ht="39" customHeight="1" thickBot="1">
      <c r="A36" s="1304"/>
      <c r="B36" s="1305"/>
      <c r="C36" s="1301"/>
      <c r="D36" s="1309"/>
      <c r="E36" s="1310"/>
      <c r="F36" s="1310"/>
      <c r="G36" s="1310"/>
      <c r="H36" s="1310"/>
      <c r="I36" s="1310"/>
      <c r="J36" s="1311"/>
      <c r="K36" s="666"/>
      <c r="O36" s="339"/>
      <c r="T36" s="649" t="s">
        <v>998</v>
      </c>
      <c r="U36">
        <f>IF(OR('Clinical Info'!H6="(EMR Only)",'Clinical Info'!H6="(PM+EMR)"),'Virtualized Config Checklist'!U35,IF('Clinical Info'!H6="(PM Only)",'Virtualized Config Checklist'!U37,-1))</f>
        <v>-1</v>
      </c>
      <c r="V36" s="638"/>
      <c r="W36" s="638"/>
      <c r="Y36" s="36"/>
      <c r="AD36" s="339"/>
    </row>
    <row r="37" spans="1:48" ht="14.65" thickBot="1">
      <c r="A37" s="629"/>
      <c r="J37" s="339"/>
      <c r="K37" s="666"/>
      <c r="O37" s="339"/>
      <c r="T37" s="643"/>
      <c r="U37" s="641" t="s">
        <v>999</v>
      </c>
      <c r="V37" s="654"/>
      <c r="W37" s="654"/>
      <c r="X37" s="641"/>
      <c r="Y37" s="655"/>
      <c r="Z37" s="641"/>
      <c r="AA37" s="641"/>
      <c r="AB37" s="641"/>
      <c r="AC37" s="641"/>
      <c r="AD37" s="341"/>
    </row>
    <row r="38" spans="1:48" ht="34.15" thickBot="1">
      <c r="A38" s="788" t="s">
        <v>980</v>
      </c>
      <c r="B38" s="661" t="s">
        <v>1057</v>
      </c>
      <c r="C38" s="660" t="s">
        <v>31</v>
      </c>
      <c r="D38" s="660" t="s">
        <v>41</v>
      </c>
      <c r="F38" s="788" t="s">
        <v>988</v>
      </c>
      <c r="G38" s="661" t="s">
        <v>1057</v>
      </c>
      <c r="H38" s="660" t="s">
        <v>31</v>
      </c>
      <c r="I38" s="660" t="s">
        <v>41</v>
      </c>
      <c r="J38" s="339"/>
      <c r="K38" s="666"/>
      <c r="O38" s="339"/>
      <c r="V38" s="638"/>
      <c r="W38" s="638"/>
      <c r="Y38" s="36"/>
    </row>
    <row r="39" spans="1:48" ht="14.65" thickBot="1">
      <c r="A39" s="639" t="s">
        <v>32</v>
      </c>
      <c r="B39" s="679" t="e">
        <f>IF('Clinical Info'!$H$6="(PM Only)",VLOOKUP('Virtualized Config Checklist'!$C$35,'Virtualized Config Checklist'!$AJ$40:$AP$45,2,FALSE),VLOOKUP('Virtualized Config Checklist'!$C$35,'Virtualized Config Checklist'!$AJ$40:$AV$45,8,FALSE))</f>
        <v>#N/A</v>
      </c>
      <c r="C39" s="708"/>
      <c r="D39" s="678" t="str">
        <f>IF(C39="","&lt;--Enter Data",IF(C39&gt;=B39,"Yes","No"))</f>
        <v>&lt;--Enter Data</v>
      </c>
      <c r="F39" s="639" t="s">
        <v>32</v>
      </c>
      <c r="G39" s="685" t="e">
        <f>IF('Clinical Info'!$H$6="(PM Only)",VLOOKUP('Virtualized Config Checklist'!$C$35,'Virtualized Config Checklist'!$AJ$40:$AP$45,4,FALSE),VLOOKUP('Virtualized Config Checklist'!$C$35,'Virtualized Config Checklist'!$AJ$40:$AV$45,10,FALSE))</f>
        <v>#N/A</v>
      </c>
      <c r="H39" s="675"/>
      <c r="I39" s="678" t="str">
        <f>IF(H39="","&lt;--Enter Data",IF(H39&gt;=G39,"Yes","No"))</f>
        <v>&lt;--Enter Data</v>
      </c>
      <c r="J39" s="339"/>
      <c r="K39" s="666"/>
      <c r="O39" s="339"/>
      <c r="T39" s="1281" t="s">
        <v>1003</v>
      </c>
      <c r="U39" s="1281"/>
      <c r="V39" s="1281"/>
      <c r="W39" s="1281"/>
      <c r="Y39" s="36"/>
      <c r="AK39" s="1225" t="s">
        <v>1009</v>
      </c>
      <c r="AL39" s="1226"/>
      <c r="AM39" s="1226"/>
      <c r="AN39" s="1226"/>
      <c r="AO39" s="1226"/>
      <c r="AP39" s="1227"/>
      <c r="AQ39" s="1228" t="s">
        <v>1008</v>
      </c>
      <c r="AR39" s="1228"/>
      <c r="AS39" s="1228"/>
      <c r="AT39" s="1228"/>
      <c r="AU39" s="1228"/>
      <c r="AV39" s="1229"/>
    </row>
    <row r="40" spans="1:48" ht="15.75" customHeight="1" thickBot="1">
      <c r="A40" s="663" t="s">
        <v>33</v>
      </c>
      <c r="B40" s="684" t="e">
        <f>IF('Clinical Info'!$H$6="(PM Only)",VLOOKUP('Virtualized Config Checklist'!$C$35,'Virtualized Config Checklist'!$AJ$40:$AP$45,3,FALSE),VLOOKUP('Virtualized Config Checklist'!$C$35,'Virtualized Config Checklist'!$AJ$40:$AV$45,9,FALSE))</f>
        <v>#N/A</v>
      </c>
      <c r="C40" s="707"/>
      <c r="D40" s="678" t="str">
        <f>IF(C40="","&lt;--Enter Data",IF(C40&gt;=B40,"Yes","No"))</f>
        <v>&lt;--Enter Data</v>
      </c>
      <c r="F40" s="640" t="s">
        <v>33</v>
      </c>
      <c r="G40" s="676" t="e">
        <f>IF('Clinical Info'!$H$6="(PM Only)",VLOOKUP('Virtualized Config Checklist'!$C$35,'Virtualized Config Checklist'!$AJ$40:$AP$45,5,FALSE),VLOOKUP('Virtualized Config Checklist'!$C$35,'Virtualized Config Checklist'!$AJ$40:$AV$45,11,FALSE))</f>
        <v>#N/A</v>
      </c>
      <c r="H40" s="675"/>
      <c r="I40" s="678" t="str">
        <f>IF(H40="","&lt;--Enter Data",IF(H40&gt;=G40,"Yes","No"))</f>
        <v>&lt;--Enter Data</v>
      </c>
      <c r="J40" s="339"/>
      <c r="K40" s="666"/>
      <c r="O40" s="339"/>
      <c r="T40" s="1232" t="s">
        <v>1004</v>
      </c>
      <c r="U40" s="1233"/>
      <c r="V40" s="1233"/>
      <c r="W40" s="1233"/>
      <c r="X40" s="1233"/>
      <c r="Y40" s="36"/>
      <c r="Z40" s="1232" t="s">
        <v>1007</v>
      </c>
      <c r="AA40" s="1233"/>
      <c r="AB40" s="1233"/>
      <c r="AC40" s="1233"/>
      <c r="AD40" s="1233"/>
      <c r="AK40" s="696" t="s">
        <v>1010</v>
      </c>
      <c r="AL40" s="696" t="s">
        <v>1011</v>
      </c>
      <c r="AM40" s="696" t="s">
        <v>1012</v>
      </c>
      <c r="AN40" s="696" t="s">
        <v>1013</v>
      </c>
      <c r="AO40" s="697" t="s">
        <v>1014</v>
      </c>
      <c r="AP40" s="697" t="s">
        <v>1015</v>
      </c>
      <c r="AQ40" s="698" t="s">
        <v>1010</v>
      </c>
      <c r="AR40" s="698" t="s">
        <v>1011</v>
      </c>
      <c r="AS40" s="698" t="s">
        <v>1012</v>
      </c>
      <c r="AT40" s="698" t="s">
        <v>1013</v>
      </c>
      <c r="AU40" s="698" t="s">
        <v>1014</v>
      </c>
      <c r="AV40" s="698" t="s">
        <v>1015</v>
      </c>
    </row>
    <row r="41" spans="1:48" ht="33.75" customHeight="1" thickBot="1">
      <c r="A41" s="664" t="s">
        <v>34</v>
      </c>
      <c r="B41" s="692">
        <f>B10</f>
        <v>0</v>
      </c>
      <c r="C41" s="707"/>
      <c r="D41" s="678" t="str">
        <f>IF(C41="","&lt;--Enter Data",IF(C41&gt;=B41,"Yes","No"))</f>
        <v>&lt;--Enter Data</v>
      </c>
      <c r="F41" s="688" t="s">
        <v>34</v>
      </c>
      <c r="G41" s="691">
        <f>B22</f>
        <v>63</v>
      </c>
      <c r="H41" s="830"/>
      <c r="I41" s="678" t="str">
        <f>IF(H41="","&lt;--Enter Data",IF(H41&gt;=G41,"Yes","No"))</f>
        <v>&lt;--Enter Data</v>
      </c>
      <c r="J41" s="339"/>
      <c r="K41" s="666"/>
      <c r="O41" s="339"/>
      <c r="T41" s="1222" t="s">
        <v>1005</v>
      </c>
      <c r="U41" s="1223"/>
      <c r="V41" s="1223"/>
      <c r="W41" s="1223"/>
      <c r="X41" s="1224"/>
      <c r="Y41" s="36"/>
      <c r="Z41" s="1222" t="s">
        <v>1005</v>
      </c>
      <c r="AA41" s="1223"/>
      <c r="AB41" s="1223"/>
      <c r="AC41" s="1223"/>
      <c r="AD41" s="1224"/>
      <c r="AJ41">
        <v>1</v>
      </c>
      <c r="AK41" s="696">
        <f>AA11</f>
        <v>6</v>
      </c>
      <c r="AL41" s="696">
        <f>AA15</f>
        <v>0</v>
      </c>
      <c r="AM41" s="696">
        <f>AA21</f>
        <v>6</v>
      </c>
      <c r="AN41" s="696">
        <f>AA22</f>
        <v>18</v>
      </c>
      <c r="AO41" s="697" t="str">
        <f>AA33</f>
        <v>Not Recommended</v>
      </c>
      <c r="AP41" s="697" t="str">
        <f>AA34</f>
        <v>Not Recommended</v>
      </c>
      <c r="AQ41" s="698">
        <f>U11</f>
        <v>6</v>
      </c>
      <c r="AR41" s="698">
        <f>U12</f>
        <v>16</v>
      </c>
      <c r="AS41" s="698">
        <f>U21</f>
        <v>4</v>
      </c>
      <c r="AT41" s="698">
        <f>U22</f>
        <v>12</v>
      </c>
      <c r="AU41" s="698" t="str">
        <f>U33</f>
        <v>Separate Interop Server Not Recommended</v>
      </c>
      <c r="AV41" s="698" t="str">
        <f>U34</f>
        <v>Separate Interop Server Not Recommended</v>
      </c>
    </row>
    <row r="42" spans="1:48" ht="18" customHeight="1" thickBot="1">
      <c r="A42" s="629"/>
      <c r="J42" s="339"/>
      <c r="K42" s="666"/>
      <c r="O42" s="339"/>
      <c r="T42" s="1220" t="s">
        <v>985</v>
      </c>
      <c r="U42" s="1221"/>
      <c r="V42" s="322"/>
      <c r="W42" s="322"/>
      <c r="X42" s="181"/>
      <c r="Y42" s="36"/>
      <c r="Z42" s="1220" t="s">
        <v>985</v>
      </c>
      <c r="AA42" s="1221"/>
      <c r="AB42" s="322"/>
      <c r="AC42" s="322"/>
      <c r="AD42" s="181"/>
      <c r="AJ42">
        <v>4</v>
      </c>
      <c r="AK42" s="696">
        <f t="shared" ref="AK42:AP42" si="0">AK41</f>
        <v>6</v>
      </c>
      <c r="AL42" s="696">
        <f t="shared" si="0"/>
        <v>0</v>
      </c>
      <c r="AM42" s="696">
        <f t="shared" si="0"/>
        <v>6</v>
      </c>
      <c r="AN42" s="696">
        <f t="shared" si="0"/>
        <v>18</v>
      </c>
      <c r="AO42" s="697" t="str">
        <f t="shared" si="0"/>
        <v>Not Recommended</v>
      </c>
      <c r="AP42" s="697" t="str">
        <f t="shared" si="0"/>
        <v>Not Recommended</v>
      </c>
      <c r="AQ42" s="698">
        <f>U43</f>
        <v>6</v>
      </c>
      <c r="AR42" s="698">
        <f>W44</f>
        <v>0</v>
      </c>
      <c r="AS42" s="698">
        <f>U47</f>
        <v>4</v>
      </c>
      <c r="AT42" s="698">
        <f>U48</f>
        <v>18</v>
      </c>
      <c r="AU42" s="698">
        <f>U51</f>
        <v>4</v>
      </c>
      <c r="AV42" s="698">
        <f>U52</f>
        <v>20</v>
      </c>
    </row>
    <row r="43" spans="1:48" ht="42" customHeight="1" thickBot="1">
      <c r="A43" s="788" t="s">
        <v>991</v>
      </c>
      <c r="B43" s="788" t="s">
        <v>1057</v>
      </c>
      <c r="C43" s="660" t="s">
        <v>31</v>
      </c>
      <c r="D43" s="660"/>
      <c r="J43" s="339"/>
      <c r="K43" s="666"/>
      <c r="O43" s="339"/>
      <c r="T43" s="648" t="s">
        <v>977</v>
      </c>
      <c r="U43" s="647">
        <f>IF(U9&lt;=50,6,IF(AND(U9&gt;50,U9&lt;=100),8,IF(AND(U9&gt;100,U9&lt;=200),10,IF(AND(U9&gt;200,U9&lt;=300),12,IF(AND(U9&gt;300,U9&lt;=500),14,IF(AND(U9&gt;500,U9&lt;=750),18,IF(AND(U9&gt;750,U9&lt;=1000),24,IF(AND(U9&gt;1000,U9&lt;=1500),30,IF(AND(U9&gt;1500,U9&lt;=2000),39)))))))))</f>
        <v>6</v>
      </c>
      <c r="X43" s="339"/>
      <c r="Y43" s="657"/>
      <c r="Z43" s="648" t="s">
        <v>977</v>
      </c>
      <c r="AA43" s="647">
        <f>AA11</f>
        <v>6</v>
      </c>
      <c r="AD43" s="339"/>
      <c r="AJ43">
        <v>8</v>
      </c>
      <c r="AK43" s="696"/>
      <c r="AL43" s="696"/>
      <c r="AM43" s="696"/>
      <c r="AN43" s="696"/>
      <c r="AO43" s="697"/>
      <c r="AP43" s="697"/>
      <c r="AQ43" s="698">
        <f>U56</f>
        <v>8</v>
      </c>
      <c r="AR43" s="698">
        <f>W57</f>
        <v>0</v>
      </c>
      <c r="AS43" s="698">
        <f>U60</f>
        <v>4</v>
      </c>
      <c r="AT43" s="698">
        <f>U61</f>
        <v>24</v>
      </c>
      <c r="AU43" s="698">
        <f>U64</f>
        <v>4</v>
      </c>
      <c r="AV43" s="698">
        <f>U65</f>
        <v>26</v>
      </c>
    </row>
    <row r="44" spans="1:48" ht="28.5" customHeight="1" thickBot="1">
      <c r="A44" s="646" t="s">
        <v>32</v>
      </c>
      <c r="B44" s="679" t="e">
        <f>IF('Clinical Info'!$H$6="(PM Only)",VLOOKUP('Virtualized Config Checklist'!$C$35,'Virtualized Config Checklist'!$AJ$40:$AP$45,6,FALSE),VLOOKUP('Virtualized Config Checklist'!$C$35,'Virtualized Config Checklist'!$AJ$40:$AV$45,12,FALSE))</f>
        <v>#N/A</v>
      </c>
      <c r="C44" s="708"/>
      <c r="D44" s="678" t="str">
        <f>IF(C44="","&lt;--Enter Data",IF(C44&gt;=B44,"Yes","No"))</f>
        <v>&lt;--Enter Data</v>
      </c>
      <c r="J44" s="339"/>
      <c r="K44" s="666"/>
      <c r="O44" s="339"/>
      <c r="T44" s="648" t="s">
        <v>958</v>
      </c>
      <c r="U44" s="647">
        <f>IF(U9&lt;=50,24,IF(AND(U9&gt;50,U9&lt;=100),28,IF(AND(U9&gt;100,U9&lt;=200),36,IF(AND(U9&gt;200,U9&lt;=300),46,IF(AND(U9&gt;300,U9&lt;=500),60,IF(AND(U9&gt;500,U9&lt;=750),82,IF(AND(U9&gt;750,U9&lt;=1000),104,IF(AND(U9&gt;1000,U9&lt;=1500),132,IF(AND(U9&gt;1500,U9&lt;=2000),183)))))))))</f>
        <v>24</v>
      </c>
      <c r="V44" s="822" t="s">
        <v>1054</v>
      </c>
      <c r="W44">
        <f>CEILING('Database Server Info'!K5/600,1)*U44</f>
        <v>0</v>
      </c>
      <c r="X44" s="339"/>
      <c r="Y44" s="657"/>
      <c r="Z44" s="648" t="s">
        <v>958</v>
      </c>
      <c r="AA44" s="647">
        <f>AA12</f>
        <v>20</v>
      </c>
      <c r="AB44" s="822" t="s">
        <v>1054</v>
      </c>
      <c r="AC44" s="638">
        <f>CEILING('Database Server Info'!K5/600,1)*AA44</f>
        <v>0</v>
      </c>
      <c r="AD44" s="339"/>
      <c r="AJ44">
        <v>10</v>
      </c>
      <c r="AK44" s="696">
        <f>AA56</f>
        <v>6</v>
      </c>
      <c r="AL44" s="696">
        <f>AC57</f>
        <v>0</v>
      </c>
      <c r="AM44" s="696">
        <f>AA60</f>
        <v>4</v>
      </c>
      <c r="AN44" s="696">
        <f>AA61</f>
        <v>21</v>
      </c>
      <c r="AO44" s="697" t="str">
        <f>AA64</f>
        <v>Not Recommended</v>
      </c>
      <c r="AP44" s="697" t="str">
        <f>AA65</f>
        <v>Not Recommended</v>
      </c>
      <c r="AQ44" s="698"/>
      <c r="AR44" s="698"/>
      <c r="AS44" s="698"/>
      <c r="AT44" s="698"/>
      <c r="AU44" s="698"/>
      <c r="AV44" s="698"/>
    </row>
    <row r="45" spans="1:48" ht="30" customHeight="1" thickBot="1">
      <c r="A45" s="646" t="s">
        <v>33</v>
      </c>
      <c r="B45" s="679" t="e">
        <f>IF('Clinical Info'!$H$6="(PM Only)",VLOOKUP('Virtualized Config Checklist'!$C$35,'Virtualized Config Checklist'!$AJ$40:$AP$45,7,FALSE),VLOOKUP('Virtualized Config Checklist'!$C$35,'Virtualized Config Checklist'!$AJ$40:$AV$45,13,FALSE))</f>
        <v>#N/A</v>
      </c>
      <c r="C45" s="707"/>
      <c r="D45" s="686" t="str">
        <f>IF(C45="","&lt;--Enter Data",IF(C45&gt;=B45,"Yes","No"))</f>
        <v>&lt;--Enter Data</v>
      </c>
      <c r="J45" s="339"/>
      <c r="K45" s="666"/>
      <c r="O45" s="339"/>
      <c r="T45" s="629"/>
      <c r="U45" s="638"/>
      <c r="X45" s="339"/>
      <c r="Y45" s="657"/>
      <c r="Z45" s="629"/>
      <c r="AA45" s="638"/>
      <c r="AD45" s="339"/>
      <c r="AJ45">
        <v>15</v>
      </c>
      <c r="AK45" s="696">
        <f>AA69</f>
        <v>6</v>
      </c>
      <c r="AL45" s="696">
        <f>AC70</f>
        <v>0</v>
      </c>
      <c r="AM45" s="696">
        <f>AA73</f>
        <v>4</v>
      </c>
      <c r="AN45" s="696">
        <f>AA74</f>
        <v>30</v>
      </c>
      <c r="AO45" s="697" t="str">
        <f>AA77</f>
        <v>Not Recommended</v>
      </c>
      <c r="AP45" s="697" t="str">
        <f>AA78</f>
        <v>Not Recommended</v>
      </c>
      <c r="AQ45" s="698"/>
      <c r="AR45" s="698"/>
      <c r="AS45" s="698"/>
      <c r="AT45" s="698"/>
      <c r="AU45" s="698"/>
      <c r="AV45" s="698"/>
    </row>
    <row r="46" spans="1:48" ht="14.65" thickBot="1">
      <c r="A46" s="687" t="s">
        <v>34</v>
      </c>
      <c r="B46" s="693">
        <f>G41</f>
        <v>63</v>
      </c>
      <c r="C46" s="707"/>
      <c r="D46" s="689" t="str">
        <f>IF(C46="","&lt;--Enter Data",IF(C46&gt;=B46,"Yes","No"))</f>
        <v>&lt;--Enter Data</v>
      </c>
      <c r="E46" s="641"/>
      <c r="F46" s="641"/>
      <c r="G46" s="641"/>
      <c r="H46" s="641"/>
      <c r="I46" s="641"/>
      <c r="J46" s="341"/>
      <c r="K46" s="667"/>
      <c r="O46" s="339"/>
      <c r="T46" s="1220" t="s">
        <v>989</v>
      </c>
      <c r="U46" s="1221"/>
      <c r="W46" s="897"/>
      <c r="X46" s="339"/>
      <c r="Y46" s="657"/>
      <c r="Z46" s="1220" t="s">
        <v>989</v>
      </c>
      <c r="AA46" s="1221"/>
      <c r="AD46" s="339"/>
    </row>
    <row r="47" spans="1:48" ht="15" thickBot="1">
      <c r="A47" s="1217" t="s">
        <v>1035</v>
      </c>
      <c r="B47" s="1218"/>
      <c r="C47" s="1218"/>
      <c r="D47" s="1218"/>
      <c r="E47" s="1218"/>
      <c r="F47" s="1218"/>
      <c r="G47" s="1218"/>
      <c r="H47" s="1218"/>
      <c r="I47" s="1218"/>
      <c r="J47" s="1218"/>
      <c r="K47" s="1218"/>
      <c r="L47" s="1218"/>
      <c r="M47" s="1218"/>
      <c r="N47" s="1219"/>
      <c r="O47" s="341"/>
      <c r="T47" s="648" t="s">
        <v>977</v>
      </c>
      <c r="U47" s="647">
        <f>IF(U9&lt;=500,4,IF(AND(U9&gt;500,U9&lt;=750),6,IF(AND(U9&gt;750,U9&lt;=1000),8,IF(AND(U9&gt;1000,U9&lt;=2000),10,))))</f>
        <v>4</v>
      </c>
      <c r="X47" s="339"/>
      <c r="Y47" s="657"/>
      <c r="Z47" s="648" t="s">
        <v>977</v>
      </c>
      <c r="AA47" s="647">
        <f>AA21</f>
        <v>6</v>
      </c>
      <c r="AD47" s="339"/>
    </row>
    <row r="48" spans="1:48" ht="14.65" thickBot="1">
      <c r="A48" s="1234" t="s">
        <v>88</v>
      </c>
      <c r="B48" s="1208"/>
      <c r="C48" s="1208"/>
      <c r="D48" s="1209"/>
      <c r="E48" s="1210"/>
      <c r="F48" s="1207" t="s">
        <v>507</v>
      </c>
      <c r="G48" s="1208"/>
      <c r="H48" s="1208"/>
      <c r="I48" s="1209"/>
      <c r="J48" s="1210"/>
      <c r="K48" s="1211"/>
      <c r="L48" s="1212"/>
      <c r="M48" s="1213"/>
      <c r="N48" s="819"/>
      <c r="T48" s="648" t="s">
        <v>958</v>
      </c>
      <c r="U48" s="647">
        <f>IF(U9&lt;=100,18,IF(AND(U9&gt;100,U9&lt;=2000),18))</f>
        <v>18</v>
      </c>
      <c r="X48" s="339"/>
      <c r="Y48" s="657"/>
      <c r="Z48" s="648" t="s">
        <v>958</v>
      </c>
      <c r="AA48" s="647">
        <f>AA22</f>
        <v>18</v>
      </c>
      <c r="AD48" s="339"/>
    </row>
    <row r="49" spans="1:30" ht="30" customHeight="1" thickBot="1">
      <c r="A49" s="1182" t="s">
        <v>775</v>
      </c>
      <c r="B49" s="1183"/>
      <c r="C49" s="1183"/>
      <c r="D49" s="1184"/>
      <c r="E49" s="1185"/>
      <c r="F49" s="1214" t="str">
        <f>IF(OR(I51="Select One:",I51="Other",ISBLANK(D49)),"vRAM in GB allocated to all VMs per host:",IF(D49&lt;4,"Minimum number physical cores per CPU should not be less than 4.",IF(VLOOKUP(I51,Defaults!D17:E32,2,FALSE)=D49,"vRAM in GB allocated to all VMs per host:",IF(D49=T68,"vRAM in GB allocated to all VMs per host:","&lt;&lt; Warning: Number of cores specified does not match CPU model range."))))</f>
        <v>vRAM in GB allocated to all VMs per host:</v>
      </c>
      <c r="G49" s="1215"/>
      <c r="H49" s="1216"/>
      <c r="I49" s="1184"/>
      <c r="J49" s="1185"/>
      <c r="K49" s="1188"/>
      <c r="L49" s="1189"/>
      <c r="M49" s="1190"/>
      <c r="N49" s="571"/>
      <c r="T49" s="629"/>
      <c r="U49" s="638"/>
      <c r="X49" s="339"/>
      <c r="Y49" s="657"/>
      <c r="Z49" s="629"/>
      <c r="AA49" s="638"/>
      <c r="AD49" s="339"/>
    </row>
    <row r="50" spans="1:30" ht="14.65" thickBot="1">
      <c r="A50" s="1182" t="s">
        <v>89</v>
      </c>
      <c r="B50" s="1183"/>
      <c r="C50" s="1183"/>
      <c r="D50" s="1184"/>
      <c r="E50" s="1185"/>
      <c r="F50" s="1186" t="s">
        <v>919</v>
      </c>
      <c r="G50" s="1183"/>
      <c r="H50" s="1183"/>
      <c r="I50" s="1184" t="s">
        <v>51</v>
      </c>
      <c r="J50" s="1185"/>
      <c r="K50" s="1188"/>
      <c r="L50" s="1189"/>
      <c r="M50" s="1190"/>
      <c r="N50" s="571"/>
      <c r="T50" s="1220" t="s">
        <v>1032</v>
      </c>
      <c r="U50" s="1221"/>
      <c r="X50" s="339"/>
      <c r="Y50" s="657"/>
      <c r="Z50" s="1220" t="s">
        <v>992</v>
      </c>
      <c r="AA50" s="1221"/>
      <c r="AD50" s="339"/>
    </row>
    <row r="51" spans="1:30" ht="14.65" thickBot="1">
      <c r="A51" s="1182" t="s">
        <v>90</v>
      </c>
      <c r="B51" s="1183"/>
      <c r="C51" s="1183"/>
      <c r="D51" s="1184"/>
      <c r="E51" s="1185"/>
      <c r="F51" s="1186" t="s">
        <v>552</v>
      </c>
      <c r="G51" s="1183"/>
      <c r="H51" s="1183"/>
      <c r="I51" s="1187" t="s">
        <v>60</v>
      </c>
      <c r="J51" s="1185"/>
      <c r="K51" s="1188"/>
      <c r="L51" s="1189"/>
      <c r="M51" s="1190"/>
      <c r="N51" s="571"/>
      <c r="T51" s="648" t="s">
        <v>990</v>
      </c>
      <c r="U51" s="647">
        <f>U47</f>
        <v>4</v>
      </c>
      <c r="X51" s="339"/>
      <c r="Y51" s="657"/>
      <c r="Z51" s="648" t="s">
        <v>990</v>
      </c>
      <c r="AA51" s="647" t="s">
        <v>994</v>
      </c>
      <c r="AD51" s="339"/>
    </row>
    <row r="52" spans="1:30" ht="14.65" thickBot="1">
      <c r="A52" s="1197" t="s">
        <v>119</v>
      </c>
      <c r="B52" s="1198"/>
      <c r="C52" s="1198"/>
      <c r="D52" s="1199"/>
      <c r="E52" s="1200"/>
      <c r="F52" s="1201" t="s">
        <v>735</v>
      </c>
      <c r="G52" s="1202"/>
      <c r="H52" s="1203"/>
      <c r="I52" s="1199"/>
      <c r="J52" s="1200"/>
      <c r="K52" s="53"/>
      <c r="L52" s="53"/>
      <c r="M52" s="53"/>
      <c r="N52" s="571"/>
      <c r="T52" s="648" t="s">
        <v>958</v>
      </c>
      <c r="U52" s="656">
        <f>IF(U9&lt;=100,20,IF(AND(U9&gt;100,U9&lt;=2000),20))</f>
        <v>20</v>
      </c>
      <c r="X52" s="339"/>
      <c r="Y52" s="657"/>
      <c r="Z52" s="648" t="s">
        <v>958</v>
      </c>
      <c r="AA52" s="656" t="s">
        <v>994</v>
      </c>
      <c r="AD52" s="339"/>
    </row>
    <row r="53" spans="1:30" ht="29.25" thickTop="1" thickBot="1">
      <c r="A53" s="701" t="s">
        <v>37</v>
      </c>
      <c r="B53" s="702" t="str">
        <f>IF(OR(ISBLANK(D48),ISBLANK(D49),ISBLANK(I48)),"",IF(I50="Yes",IF(I48&gt;(2*D48*D49-1),"Yes","No"),IF(I48&gt;(D48*D49-1),"Yes","No")))</f>
        <v/>
      </c>
      <c r="C53" s="1204" t="str">
        <f>IF(B53="Yes","WARNING: CONFIGURATION ISSUES - Number of virtual CPUs configured exceed the number of available physical(logical) cores within the host! Reduce number of VMs on host.","")</f>
        <v/>
      </c>
      <c r="D53" s="1205"/>
      <c r="E53" s="1205"/>
      <c r="F53" s="1205"/>
      <c r="G53" s="1205"/>
      <c r="H53" s="1205"/>
      <c r="I53" s="1205"/>
      <c r="J53" s="1205"/>
      <c r="K53" s="1205"/>
      <c r="L53" s="1205"/>
      <c r="M53" s="1205"/>
      <c r="N53" s="1206"/>
      <c r="T53" s="629"/>
      <c r="U53" s="638"/>
      <c r="X53" s="339"/>
      <c r="Y53" s="657"/>
      <c r="Z53" s="629"/>
      <c r="AA53" s="638"/>
      <c r="AD53" s="339"/>
    </row>
    <row r="54" spans="1:30" ht="28.9" thickBot="1">
      <c r="A54" s="461" t="s">
        <v>38</v>
      </c>
      <c r="B54" s="703" t="str">
        <f>IF(OR(ISBLANK(D50),ISBLANK(I49)),"",IF(I49&gt;D50-4,"Yes","No"))</f>
        <v/>
      </c>
      <c r="C54" s="1191" t="str">
        <f>IF(B54="Yes","WARNING: CONFIGURATION ISSUES - Amount of virtual RAM configured exceeds the amount of available physical RAM within the host! Reduce number of VMs on host.","")</f>
        <v/>
      </c>
      <c r="D54" s="1192"/>
      <c r="E54" s="1192"/>
      <c r="F54" s="1192"/>
      <c r="G54" s="1192"/>
      <c r="H54" s="1192"/>
      <c r="I54" s="1192"/>
      <c r="J54" s="1192"/>
      <c r="K54" s="1192"/>
      <c r="L54" s="1192"/>
      <c r="M54" s="1192"/>
      <c r="N54" s="1193"/>
      <c r="T54" s="1222" t="s">
        <v>1006</v>
      </c>
      <c r="U54" s="1223"/>
      <c r="V54" s="1223"/>
      <c r="W54" s="1223"/>
      <c r="X54" s="1224"/>
      <c r="Y54" s="657"/>
      <c r="Z54" s="1222" t="s">
        <v>1016</v>
      </c>
      <c r="AA54" s="1223"/>
      <c r="AB54" s="1223"/>
      <c r="AC54" s="1223"/>
      <c r="AD54" s="1224"/>
    </row>
    <row r="55" spans="1:30" ht="28.9" thickBot="1">
      <c r="A55" s="699" t="s">
        <v>39</v>
      </c>
      <c r="B55" s="704" t="str">
        <f>U73</f>
        <v/>
      </c>
      <c r="C55" s="1194" t="s">
        <v>40</v>
      </c>
      <c r="D55" s="1195"/>
      <c r="E55" s="1195"/>
      <c r="F55" s="1195"/>
      <c r="G55" s="1195"/>
      <c r="H55" s="1195"/>
      <c r="I55" s="1195"/>
      <c r="J55" s="1195"/>
      <c r="K55" s="1195"/>
      <c r="L55" s="1195"/>
      <c r="M55" s="1195"/>
      <c r="N55" s="1196"/>
      <c r="T55" s="1230" t="s">
        <v>985</v>
      </c>
      <c r="U55" s="1231"/>
      <c r="X55" s="339"/>
      <c r="Y55" s="657"/>
      <c r="Z55" s="1230" t="s">
        <v>985</v>
      </c>
      <c r="AA55" s="1231"/>
      <c r="AD55" s="339"/>
    </row>
    <row r="56" spans="1:30" ht="15" thickTop="1" thickBot="1">
      <c r="T56" s="648" t="s">
        <v>977</v>
      </c>
      <c r="U56" s="647">
        <f>IF(U9&lt;=50,8,IF(AND(U9&gt;50,U9&lt;=100),10,IF(AND(U9&gt;100,U9&lt;=200),12,IF(AND(U9&gt;200,U9&lt;=300),14,IF(AND(U9&gt;300,U9&lt;=500),16,IF(AND(U9&gt;500,U9&lt;=750),20,IF(AND(U9&gt;750,U9&lt;=1000),26,IF(AND(U9&gt;1000,U9&lt;=1500),34,IF(AND(U9&gt;1500,U9&lt;=2000),42)))))))))</f>
        <v>8</v>
      </c>
      <c r="X56" s="339"/>
      <c r="Y56" s="657"/>
      <c r="Z56" s="648" t="s">
        <v>977</v>
      </c>
      <c r="AA56" s="647">
        <f>IF(U9&lt;=100,6,IF(AND(U9&gt;100,U9&lt;=300),8,IF(AND(U9&gt;300,U9&lt;=500),10,IF(AND(U9&gt;500,U9&lt;=1000),12,IF(AND(U9&gt;1000,U9&lt;=1500),14,IF(AND(U9&gt;1500,U9&lt;=20000),16))))))</f>
        <v>6</v>
      </c>
      <c r="AD56" s="339"/>
    </row>
    <row r="57" spans="1:30" ht="43.15" thickBot="1">
      <c r="T57" s="648" t="s">
        <v>958</v>
      </c>
      <c r="U57" s="647">
        <f>IF(U9&lt;=50,26,IF(AND(U9&gt;50,U9&lt;=100),30,IF(AND(U9&gt;100,U9&lt;=200),40,IF(AND(U9&gt;200,U9&lt;=300),50,IF(AND(U9&gt;300,U9&lt;=500),64,IF(AND(U9&gt;500,U9&lt;=750),86,IF(AND(U9&gt;750,U9&lt;=1000),108,IF(AND(U9&gt;1000,U9&lt;=1500),140,IF(AND(U9&gt;1500,U9&lt;=2000),190)))))))))</f>
        <v>26</v>
      </c>
      <c r="V57" s="822" t="s">
        <v>1054</v>
      </c>
      <c r="W57">
        <f>CEILING('Database Server Info'!K5/600,1)*U57</f>
        <v>0</v>
      </c>
      <c r="X57" s="339"/>
      <c r="Y57" s="657"/>
      <c r="Z57" s="648" t="s">
        <v>958</v>
      </c>
      <c r="AA57" s="647">
        <f>IF(U9&lt;=100,24,IF(AND(U9&gt;100,U9&lt;=200),30,IF(AND(U9&gt;200,U9&lt;=300),38,IF(AND(U9&gt;300,U9&lt;=500),42,IF(AND(U9&gt;500,U9&lt;=750),48,IF(AND(U9&gt;750,U9&lt;=1000),56,IF(AND(U9&gt;1000,U9&lt;=1500),60,IF(AND(U9&gt;1500,U9&lt;=2000),68))))))))</f>
        <v>24</v>
      </c>
      <c r="AB57" s="822" t="s">
        <v>1054</v>
      </c>
      <c r="AC57">
        <f>CEILING('Database Server Info'!K5/600,1)*AA57</f>
        <v>0</v>
      </c>
      <c r="AD57" s="339"/>
    </row>
    <row r="58" spans="1:30" ht="14.65" thickBot="1">
      <c r="T58" s="629"/>
      <c r="U58" s="638"/>
      <c r="X58" s="339"/>
      <c r="Y58" s="657"/>
      <c r="Z58" s="629"/>
      <c r="AA58" s="638"/>
      <c r="AD58" s="339"/>
    </row>
    <row r="59" spans="1:30" ht="14.65" thickBot="1">
      <c r="T59" s="1220" t="s">
        <v>989</v>
      </c>
      <c r="U59" s="1221"/>
      <c r="X59" s="339"/>
      <c r="Y59" s="657"/>
      <c r="Z59" s="1220" t="s">
        <v>989</v>
      </c>
      <c r="AA59" s="1221"/>
      <c r="AD59" s="339"/>
    </row>
    <row r="60" spans="1:30" ht="14.65" thickBot="1">
      <c r="T60" s="648" t="s">
        <v>990</v>
      </c>
      <c r="U60" s="647">
        <f>IF(U9&lt;=300,4,IF(AND(U9&gt;300,U9&lt;=500),6,IF(AND(U9&gt;500,U9&lt;=750),8,IF(AND(U9&gt;750,U9&lt;=1000),10,IF(AND(U9&gt;1000,U9&lt;=2000),12)))))</f>
        <v>4</v>
      </c>
      <c r="X60" s="339"/>
      <c r="Y60" s="657"/>
      <c r="Z60" s="648" t="s">
        <v>990</v>
      </c>
      <c r="AA60" s="647">
        <f>IF(U9&lt;=500,4,IF(AND(U9&gt;500,U9&lt;=750),6,IF(AND(U9&gt;750,U9&lt;=1000),8,IF(AND(U9&gt;1000,U9&lt;=2000),10))))</f>
        <v>4</v>
      </c>
      <c r="AD60" s="339"/>
    </row>
    <row r="61" spans="1:30" ht="14.65" thickBot="1">
      <c r="T61" s="648" t="s">
        <v>958</v>
      </c>
      <c r="U61" s="656">
        <f>IF(U9&lt;=500,24,IF(AND(U9&gt;500,U9&lt;=2000),24))</f>
        <v>24</v>
      </c>
      <c r="X61" s="339"/>
      <c r="Y61" s="657"/>
      <c r="Z61" s="648" t="s">
        <v>958</v>
      </c>
      <c r="AA61" s="656">
        <f>IF(U9&lt;=500,21,IF(AND(U9&gt;500,U9&lt;=2000),21))</f>
        <v>21</v>
      </c>
      <c r="AD61" s="339"/>
    </row>
    <row r="62" spans="1:30" ht="14.65" thickBot="1">
      <c r="T62" s="629"/>
      <c r="U62" s="638"/>
      <c r="X62" s="339"/>
      <c r="Y62" s="657"/>
      <c r="Z62" s="629"/>
      <c r="AA62" s="638"/>
      <c r="AD62" s="339"/>
    </row>
    <row r="63" spans="1:30" ht="14.65" thickBot="1">
      <c r="T63" s="1220" t="s">
        <v>992</v>
      </c>
      <c r="U63" s="1221"/>
      <c r="X63" s="339"/>
      <c r="Y63" s="657"/>
      <c r="Z63" s="1220" t="s">
        <v>992</v>
      </c>
      <c r="AA63" s="1221"/>
      <c r="AD63" s="339"/>
    </row>
    <row r="64" spans="1:30" ht="14.65" thickBot="1">
      <c r="T64" s="648" t="s">
        <v>990</v>
      </c>
      <c r="U64" s="656">
        <f>U60</f>
        <v>4</v>
      </c>
      <c r="X64" s="339"/>
      <c r="Y64" s="657"/>
      <c r="Z64" s="648" t="s">
        <v>990</v>
      </c>
      <c r="AA64" s="645" t="s">
        <v>994</v>
      </c>
      <c r="AD64" s="339"/>
    </row>
    <row r="65" spans="20:30" ht="14.65" thickBot="1">
      <c r="T65" s="648" t="s">
        <v>958</v>
      </c>
      <c r="U65" s="644">
        <f>IF(U9&lt;=500,26,IF(AND(U9&gt;500,U9&lt;=2000),26))</f>
        <v>26</v>
      </c>
      <c r="V65" s="641"/>
      <c r="W65" s="641"/>
      <c r="X65" s="341"/>
      <c r="Y65" s="657"/>
      <c r="Z65" s="648" t="s">
        <v>958</v>
      </c>
      <c r="AA65" s="645" t="s">
        <v>994</v>
      </c>
      <c r="AB65" s="641"/>
      <c r="AC65" s="641"/>
      <c r="AD65" s="341"/>
    </row>
    <row r="66" spans="20:30" ht="14.65" thickBot="1"/>
    <row r="67" spans="20:30" ht="14.65" thickBot="1">
      <c r="Z67" s="1222" t="s">
        <v>1021</v>
      </c>
      <c r="AA67" s="1223"/>
      <c r="AB67" s="1223"/>
      <c r="AC67" s="1223"/>
      <c r="AD67" s="1224"/>
    </row>
    <row r="68" spans="20:30" ht="14.65" thickBot="1">
      <c r="T68" s="374" t="str">
        <f>IF(OR(I51="Select One:",I51="Other",ISBLANK(D49)),"",VLOOKUP(I51,Defaults!D17:E32,2,FALSE))</f>
        <v/>
      </c>
      <c r="U68" s="372" t="s">
        <v>1033</v>
      </c>
      <c r="Z68" s="1230" t="s">
        <v>985</v>
      </c>
      <c r="AA68" s="1231"/>
      <c r="AD68" s="339"/>
    </row>
    <row r="69" spans="20:30" ht="14.65" thickBot="1">
      <c r="T69" s="700" t="s">
        <v>919</v>
      </c>
      <c r="U69" s="248" t="s">
        <v>1034</v>
      </c>
      <c r="V69" s="248"/>
      <c r="Z69" s="648" t="s">
        <v>977</v>
      </c>
      <c r="AA69" s="647">
        <f>IF(U9&lt;=100,6,IF(AND(U9&gt;100,U9&lt;=300),10,IF(AND(U9&gt;300,U9&lt;=500),12,IF(AND(U9&gt;500,U9&lt;=750),14,IF(AND(U9&gt;750,U9&lt;=1500),16,IF(AND(U9&gt;1500,U9&lt;=20000),18))))))</f>
        <v>6</v>
      </c>
      <c r="AD69" s="339"/>
    </row>
    <row r="70" spans="20:30" ht="43.15" thickBot="1">
      <c r="U70" t="s">
        <v>51</v>
      </c>
      <c r="Z70" s="648" t="s">
        <v>958</v>
      </c>
      <c r="AA70" s="647">
        <f>IF(U9&lt;=100,28,IF(AND(U9&gt;100,U9&lt;=200),34,IF(AND(U9&gt;200,U9&lt;=300),42,IF(AND(U9&gt;300,U9&lt;=500),46,IF(AND(U9&gt;500,U9&lt;=750),52,IF(AND(U9&gt;750,U9&lt;=1000),60,IF(AND(U9&gt;1000,U9&lt;=1500),64,IF(AND(U9&gt;1500,U9&lt;=2000),72))))))))</f>
        <v>28</v>
      </c>
      <c r="AB70" s="822" t="s">
        <v>1054</v>
      </c>
      <c r="AC70">
        <f>CEILING('Database Server Info'!K5/600,1)*AA70</f>
        <v>0</v>
      </c>
      <c r="AD70" s="339"/>
    </row>
    <row r="71" spans="20:30" ht="14.65" thickBot="1">
      <c r="U71" t="s">
        <v>0</v>
      </c>
      <c r="Z71" s="629"/>
      <c r="AA71" s="638"/>
      <c r="AD71" s="339"/>
    </row>
    <row r="72" spans="20:30" ht="14.65" thickBot="1">
      <c r="Z72" s="1220" t="s">
        <v>989</v>
      </c>
      <c r="AA72" s="1221"/>
      <c r="AD72" s="339"/>
    </row>
    <row r="73" spans="20:30" ht="14.65" thickBot="1">
      <c r="T73" s="406" t="s">
        <v>701</v>
      </c>
      <c r="U73" s="248" t="str">
        <f>IF(ISBLANK('Citrix or Terminal Server Info'!H20),"",IF(OR('Citrix or Terminal Server Info'!W33,'Citrix or Terminal Server Info'!W34),"Yes","No"))</f>
        <v/>
      </c>
      <c r="Z73" s="648" t="s">
        <v>990</v>
      </c>
      <c r="AA73" s="647">
        <f>IF(U9&lt;=500,4,IF(AND(U9&gt;500,U9&lt;=750),6,IF(AND(U9&gt;750,U9&lt;=1000),8,IF(AND(U9&gt;1000,U9&lt;=2000),10))))</f>
        <v>4</v>
      </c>
      <c r="AD73" s="339"/>
    </row>
    <row r="74" spans="20:30" ht="14.65" thickBot="1">
      <c r="Z74" s="648" t="s">
        <v>958</v>
      </c>
      <c r="AA74" s="656">
        <f>IF(U9&lt;=500,30,IF(AND(U9&gt;500,U9&lt;=2000),30))</f>
        <v>30</v>
      </c>
      <c r="AD74" s="339"/>
    </row>
    <row r="75" spans="20:30" ht="14.65" thickBot="1">
      <c r="Z75" s="629"/>
      <c r="AA75" s="638"/>
      <c r="AD75" s="339"/>
    </row>
    <row r="76" spans="20:30" ht="14.65" thickBot="1">
      <c r="Z76" s="1220" t="s">
        <v>992</v>
      </c>
      <c r="AA76" s="1221"/>
      <c r="AD76" s="339"/>
    </row>
    <row r="77" spans="20:30" ht="14.65" thickBot="1">
      <c r="Z77" s="648" t="s">
        <v>990</v>
      </c>
      <c r="AA77" s="645" t="s">
        <v>994</v>
      </c>
      <c r="AD77" s="339"/>
    </row>
    <row r="78" spans="20:30" ht="14.65" thickBot="1">
      <c r="Z78" s="648" t="s">
        <v>958</v>
      </c>
      <c r="AA78" s="645" t="s">
        <v>994</v>
      </c>
      <c r="AB78" s="641"/>
      <c r="AC78" s="641"/>
      <c r="AD78" s="341"/>
    </row>
    <row r="81" spans="22:22">
      <c r="V81" s="897"/>
    </row>
  </sheetData>
  <sheetProtection algorithmName="SHA-512" hashValue="7rXSXV+P69Ecb5GJc6YJeVEXWLYpwq0AkN0DHfPX7cmfvrXSZygrO90mGt2r7KK45cs/jnvUcqXYssfFqhmx8w==" saltValue="CI1CENh2YBYV21MfTwMlyg==" spinCount="100000" sheet="1" objects="1" scenarios="1"/>
  <mergeCells count="82">
    <mergeCell ref="A6:J6"/>
    <mergeCell ref="A2:O3"/>
    <mergeCell ref="A4:O4"/>
    <mergeCell ref="A5:O5"/>
    <mergeCell ref="Z67:AD67"/>
    <mergeCell ref="B12:D12"/>
    <mergeCell ref="T7:W7"/>
    <mergeCell ref="Z7:AC7"/>
    <mergeCell ref="C35:C36"/>
    <mergeCell ref="A35:B36"/>
    <mergeCell ref="D35:J36"/>
    <mergeCell ref="A33:J33"/>
    <mergeCell ref="L6:O6"/>
    <mergeCell ref="L7:N7"/>
    <mergeCell ref="A11:D11"/>
    <mergeCell ref="T40:X40"/>
    <mergeCell ref="Z68:AA68"/>
    <mergeCell ref="Z72:AA72"/>
    <mergeCell ref="Z76:AA76"/>
    <mergeCell ref="T8:V8"/>
    <mergeCell ref="Z8:AB8"/>
    <mergeCell ref="T20:U20"/>
    <mergeCell ref="Z20:AA20"/>
    <mergeCell ref="Z10:AA10"/>
    <mergeCell ref="Z50:AA50"/>
    <mergeCell ref="Z63:AA63"/>
    <mergeCell ref="Z41:AD41"/>
    <mergeCell ref="T10:V10"/>
    <mergeCell ref="T39:W39"/>
    <mergeCell ref="T42:U42"/>
    <mergeCell ref="T46:U46"/>
    <mergeCell ref="T41:X41"/>
    <mergeCell ref="A34:J34"/>
    <mergeCell ref="A13:J13"/>
    <mergeCell ref="F12:J12"/>
    <mergeCell ref="F14:J15"/>
    <mergeCell ref="F16:J21"/>
    <mergeCell ref="A24:G24"/>
    <mergeCell ref="B26:B28"/>
    <mergeCell ref="A30:G30"/>
    <mergeCell ref="A31:G32"/>
    <mergeCell ref="A47:N47"/>
    <mergeCell ref="T63:U63"/>
    <mergeCell ref="T54:X54"/>
    <mergeCell ref="AK39:AP39"/>
    <mergeCell ref="AQ39:AV39"/>
    <mergeCell ref="Z54:AD54"/>
    <mergeCell ref="Z55:AA55"/>
    <mergeCell ref="Z40:AD40"/>
    <mergeCell ref="Z42:AA42"/>
    <mergeCell ref="Z46:AA46"/>
    <mergeCell ref="T55:U55"/>
    <mergeCell ref="T50:U50"/>
    <mergeCell ref="T59:U59"/>
    <mergeCell ref="Z59:AA59"/>
    <mergeCell ref="A48:C48"/>
    <mergeCell ref="D48:E48"/>
    <mergeCell ref="A49:C49"/>
    <mergeCell ref="D49:E49"/>
    <mergeCell ref="F49:H49"/>
    <mergeCell ref="I49:J49"/>
    <mergeCell ref="K49:M49"/>
    <mergeCell ref="I50:J50"/>
    <mergeCell ref="K50:M50"/>
    <mergeCell ref="F48:H48"/>
    <mergeCell ref="I48:J48"/>
    <mergeCell ref="K48:M48"/>
    <mergeCell ref="I51:J51"/>
    <mergeCell ref="K51:M51"/>
    <mergeCell ref="C54:N54"/>
    <mergeCell ref="C55:N55"/>
    <mergeCell ref="A52:C52"/>
    <mergeCell ref="D52:E52"/>
    <mergeCell ref="F52:H52"/>
    <mergeCell ref="I52:J52"/>
    <mergeCell ref="C53:N53"/>
    <mergeCell ref="A50:C50"/>
    <mergeCell ref="D50:E50"/>
    <mergeCell ref="F50:H50"/>
    <mergeCell ref="A51:C51"/>
    <mergeCell ref="D51:E51"/>
    <mergeCell ref="F51:H51"/>
  </mergeCells>
  <conditionalFormatting sqref="A7:A10 F7:F10 A35 D7 A27 C27:G27 A31">
    <cfRule type="expression" dxfId="1337" priority="455" stopIfTrue="1">
      <formula>($X$69="Yes")</formula>
    </cfRule>
  </conditionalFormatting>
  <conditionalFormatting sqref="A7 F8:F10">
    <cfRule type="cellIs" dxfId="1336" priority="456" stopIfTrue="1" operator="equal">
      <formula>"&lt;--Enter Data"</formula>
    </cfRule>
    <cfRule type="cellIs" dxfId="1335" priority="457" stopIfTrue="1" operator="equal">
      <formula>"Yes"</formula>
    </cfRule>
    <cfRule type="cellIs" dxfId="1334" priority="458" stopIfTrue="1" operator="equal">
      <formula>"Not Needed"</formula>
    </cfRule>
    <cfRule type="cellIs" dxfId="1333" priority="459" stopIfTrue="1" operator="equal">
      <formula>"No"</formula>
    </cfRule>
  </conditionalFormatting>
  <conditionalFormatting sqref="A8:A10">
    <cfRule type="cellIs" dxfId="1332" priority="460" stopIfTrue="1" operator="equal">
      <formula>"&lt;--Enter Data"</formula>
    </cfRule>
    <cfRule type="cellIs" dxfId="1331" priority="461" stopIfTrue="1" operator="equal">
      <formula>"Yes"</formula>
    </cfRule>
    <cfRule type="cellIs" dxfId="1330" priority="462" stopIfTrue="1" operator="equal">
      <formula>"Not Needed"</formula>
    </cfRule>
    <cfRule type="cellIs" dxfId="1329" priority="463" stopIfTrue="1" operator="equal">
      <formula>"No"</formula>
    </cfRule>
  </conditionalFormatting>
  <conditionalFormatting sqref="A7:A10 F7:F10 A35 D7 A27 C27:G27 A31">
    <cfRule type="expression" dxfId="1328" priority="454" stopIfTrue="1">
      <formula>($X$67="Not Virtualized")</formula>
    </cfRule>
  </conditionalFormatting>
  <conditionalFormatting sqref="B7">
    <cfRule type="expression" dxfId="1327" priority="449" stopIfTrue="1">
      <formula>($X$69="Yes")</formula>
    </cfRule>
  </conditionalFormatting>
  <conditionalFormatting sqref="B7 D7">
    <cfRule type="cellIs" dxfId="1326" priority="450" stopIfTrue="1" operator="equal">
      <formula>"&lt;--Enter Data"</formula>
    </cfRule>
    <cfRule type="cellIs" dxfId="1325" priority="451" stopIfTrue="1" operator="equal">
      <formula>"Yes"</formula>
    </cfRule>
    <cfRule type="cellIs" dxfId="1324" priority="452" stopIfTrue="1" operator="equal">
      <formula>"Not Needed"</formula>
    </cfRule>
    <cfRule type="cellIs" dxfId="1323" priority="453" stopIfTrue="1" operator="equal">
      <formula>"No"</formula>
    </cfRule>
  </conditionalFormatting>
  <conditionalFormatting sqref="B7">
    <cfRule type="expression" dxfId="1322" priority="448" stopIfTrue="1">
      <formula>($X$67="Not Virtualized")</formula>
    </cfRule>
  </conditionalFormatting>
  <conditionalFormatting sqref="F7">
    <cfRule type="cellIs" dxfId="1321" priority="440" stopIfTrue="1" operator="equal">
      <formula>"&lt;--Enter Data"</formula>
    </cfRule>
    <cfRule type="cellIs" dxfId="1320" priority="441" stopIfTrue="1" operator="equal">
      <formula>"Yes"</formula>
    </cfRule>
    <cfRule type="cellIs" dxfId="1319" priority="442" stopIfTrue="1" operator="equal">
      <formula>"Not Needed"</formula>
    </cfRule>
    <cfRule type="cellIs" dxfId="1318" priority="443" stopIfTrue="1" operator="equal">
      <formula>"No"</formula>
    </cfRule>
  </conditionalFormatting>
  <conditionalFormatting sqref="A35">
    <cfRule type="cellIs" dxfId="1317" priority="428" stopIfTrue="1" operator="equal">
      <formula>"&lt;--Enter Data"</formula>
    </cfRule>
    <cfRule type="cellIs" dxfId="1316" priority="429" stopIfTrue="1" operator="equal">
      <formula>"Yes"</formula>
    </cfRule>
    <cfRule type="cellIs" dxfId="1315" priority="430" stopIfTrue="1" operator="equal">
      <formula>"Not Needed"</formula>
    </cfRule>
    <cfRule type="cellIs" dxfId="1314" priority="431" stopIfTrue="1" operator="equal">
      <formula>"No"</formula>
    </cfRule>
  </conditionalFormatting>
  <conditionalFormatting sqref="A14:A17">
    <cfRule type="expression" dxfId="1313" priority="311" stopIfTrue="1">
      <formula>($X$69="Yes")</formula>
    </cfRule>
  </conditionalFormatting>
  <conditionalFormatting sqref="A15:A17">
    <cfRule type="cellIs" dxfId="1312" priority="312" stopIfTrue="1" operator="equal">
      <formula>"&lt;--Enter Data"</formula>
    </cfRule>
    <cfRule type="cellIs" dxfId="1311" priority="313" stopIfTrue="1" operator="equal">
      <formula>"Yes"</formula>
    </cfRule>
    <cfRule type="cellIs" dxfId="1310" priority="314" stopIfTrue="1" operator="equal">
      <formula>"Not Needed"</formula>
    </cfRule>
    <cfRule type="cellIs" dxfId="1309" priority="315" stopIfTrue="1" operator="equal">
      <formula>"No"</formula>
    </cfRule>
  </conditionalFormatting>
  <conditionalFormatting sqref="A14:A17">
    <cfRule type="expression" dxfId="1308" priority="310" stopIfTrue="1">
      <formula>($X$67="Not Virtualized")</formula>
    </cfRule>
  </conditionalFormatting>
  <conditionalFormatting sqref="A14">
    <cfRule type="cellIs" dxfId="1307" priority="306" stopIfTrue="1" operator="equal">
      <formula>"&lt;--Enter Data"</formula>
    </cfRule>
    <cfRule type="cellIs" dxfId="1306" priority="307" stopIfTrue="1" operator="equal">
      <formula>"Yes"</formula>
    </cfRule>
    <cfRule type="cellIs" dxfId="1305" priority="308" stopIfTrue="1" operator="equal">
      <formula>"Not Needed"</formula>
    </cfRule>
    <cfRule type="cellIs" dxfId="1304" priority="309" stopIfTrue="1" operator="equal">
      <formula>"No"</formula>
    </cfRule>
  </conditionalFormatting>
  <conditionalFormatting sqref="A19">
    <cfRule type="expression" dxfId="1303" priority="295" stopIfTrue="1">
      <formula>($X$69="Yes")</formula>
    </cfRule>
  </conditionalFormatting>
  <conditionalFormatting sqref="A19">
    <cfRule type="expression" dxfId="1302" priority="294" stopIfTrue="1">
      <formula>($X$67="Not Virtualized")</formula>
    </cfRule>
  </conditionalFormatting>
  <conditionalFormatting sqref="A19">
    <cfRule type="cellIs" dxfId="1301" priority="290" stopIfTrue="1" operator="equal">
      <formula>"&lt;--Enter Data"</formula>
    </cfRule>
    <cfRule type="cellIs" dxfId="1300" priority="291" stopIfTrue="1" operator="equal">
      <formula>"Yes"</formula>
    </cfRule>
    <cfRule type="cellIs" dxfId="1299" priority="292" stopIfTrue="1" operator="equal">
      <formula>"Not Needed"</formula>
    </cfRule>
    <cfRule type="cellIs" dxfId="1298" priority="293" stopIfTrue="1" operator="equal">
      <formula>"No"</formula>
    </cfRule>
  </conditionalFormatting>
  <conditionalFormatting sqref="A20:A23">
    <cfRule type="expression" dxfId="1297" priority="285" stopIfTrue="1">
      <formula>($X$69="Yes")</formula>
    </cfRule>
  </conditionalFormatting>
  <conditionalFormatting sqref="A20:A23">
    <cfRule type="cellIs" dxfId="1296" priority="286" stopIfTrue="1" operator="equal">
      <formula>"&lt;--Enter Data"</formula>
    </cfRule>
    <cfRule type="cellIs" dxfId="1295" priority="287" stopIfTrue="1" operator="equal">
      <formula>"Yes"</formula>
    </cfRule>
    <cfRule type="cellIs" dxfId="1294" priority="288" stopIfTrue="1" operator="equal">
      <formula>"Not Needed"</formula>
    </cfRule>
    <cfRule type="cellIs" dxfId="1293" priority="289" stopIfTrue="1" operator="equal">
      <formula>"No"</formula>
    </cfRule>
  </conditionalFormatting>
  <conditionalFormatting sqref="A20:A23">
    <cfRule type="expression" dxfId="1292" priority="284" stopIfTrue="1">
      <formula>($X$67="Not Virtualized")</formula>
    </cfRule>
  </conditionalFormatting>
  <conditionalFormatting sqref="B38">
    <cfRule type="cellIs" dxfId="1291" priority="264" stopIfTrue="1" operator="equal">
      <formula>"&lt;--Enter Data"</formula>
    </cfRule>
    <cfRule type="cellIs" dxfId="1290" priority="265" stopIfTrue="1" operator="equal">
      <formula>"Yes"</formula>
    </cfRule>
    <cfRule type="cellIs" dxfId="1289" priority="266" stopIfTrue="1" operator="equal">
      <formula>"Not Needed"</formula>
    </cfRule>
    <cfRule type="cellIs" dxfId="1288" priority="267" stopIfTrue="1" operator="equal">
      <formula>"No"</formula>
    </cfRule>
  </conditionalFormatting>
  <conditionalFormatting sqref="A38:A41">
    <cfRule type="expression" dxfId="1287" priority="269" stopIfTrue="1">
      <formula>($X$69="Yes")</formula>
    </cfRule>
  </conditionalFormatting>
  <conditionalFormatting sqref="A38">
    <cfRule type="cellIs" dxfId="1286" priority="270" stopIfTrue="1" operator="equal">
      <formula>"&lt;--Enter Data"</formula>
    </cfRule>
    <cfRule type="cellIs" dxfId="1285" priority="271" stopIfTrue="1" operator="equal">
      <formula>"Yes"</formula>
    </cfRule>
    <cfRule type="cellIs" dxfId="1284" priority="272" stopIfTrue="1" operator="equal">
      <formula>"Not Needed"</formula>
    </cfRule>
    <cfRule type="cellIs" dxfId="1283" priority="273" stopIfTrue="1" operator="equal">
      <formula>"No"</formula>
    </cfRule>
  </conditionalFormatting>
  <conditionalFormatting sqref="A39:A41">
    <cfRule type="cellIs" dxfId="1282" priority="274" stopIfTrue="1" operator="equal">
      <formula>"&lt;--Enter Data"</formula>
    </cfRule>
    <cfRule type="cellIs" dxfId="1281" priority="275" stopIfTrue="1" operator="equal">
      <formula>"Yes"</formula>
    </cfRule>
    <cfRule type="cellIs" dxfId="1280" priority="276" stopIfTrue="1" operator="equal">
      <formula>"Not Needed"</formula>
    </cfRule>
    <cfRule type="cellIs" dxfId="1279" priority="277" stopIfTrue="1" operator="equal">
      <formula>"No"</formula>
    </cfRule>
  </conditionalFormatting>
  <conditionalFormatting sqref="A38:A41">
    <cfRule type="expression" dxfId="1278" priority="268" stopIfTrue="1">
      <formula>($X$67="Not Virtualized")</formula>
    </cfRule>
  </conditionalFormatting>
  <conditionalFormatting sqref="B38">
    <cfRule type="expression" dxfId="1277" priority="263" stopIfTrue="1">
      <formula>($X$69="Yes")</formula>
    </cfRule>
  </conditionalFormatting>
  <conditionalFormatting sqref="B38">
    <cfRule type="expression" dxfId="1276" priority="262" stopIfTrue="1">
      <formula>($X$67="Not Virtualized")</formula>
    </cfRule>
  </conditionalFormatting>
  <conditionalFormatting sqref="G38">
    <cfRule type="cellIs" dxfId="1275" priority="248" stopIfTrue="1" operator="equal">
      <formula>"&lt;--Enter Data"</formula>
    </cfRule>
    <cfRule type="cellIs" dxfId="1274" priority="249" stopIfTrue="1" operator="equal">
      <formula>"Yes"</formula>
    </cfRule>
    <cfRule type="cellIs" dxfId="1273" priority="250" stopIfTrue="1" operator="equal">
      <formula>"Not Needed"</formula>
    </cfRule>
    <cfRule type="cellIs" dxfId="1272" priority="251" stopIfTrue="1" operator="equal">
      <formula>"No"</formula>
    </cfRule>
  </conditionalFormatting>
  <conditionalFormatting sqref="F38:F41">
    <cfRule type="expression" dxfId="1271" priority="253" stopIfTrue="1">
      <formula>($X$69="Yes")</formula>
    </cfRule>
  </conditionalFormatting>
  <conditionalFormatting sqref="F38">
    <cfRule type="cellIs" dxfId="1270" priority="254" stopIfTrue="1" operator="equal">
      <formula>"&lt;--Enter Data"</formula>
    </cfRule>
    <cfRule type="cellIs" dxfId="1269" priority="255" stopIfTrue="1" operator="equal">
      <formula>"Yes"</formula>
    </cfRule>
    <cfRule type="cellIs" dxfId="1268" priority="256" stopIfTrue="1" operator="equal">
      <formula>"Not Needed"</formula>
    </cfRule>
    <cfRule type="cellIs" dxfId="1267" priority="257" stopIfTrue="1" operator="equal">
      <formula>"No"</formula>
    </cfRule>
  </conditionalFormatting>
  <conditionalFormatting sqref="F39:F41">
    <cfRule type="cellIs" dxfId="1266" priority="258" stopIfTrue="1" operator="equal">
      <formula>"&lt;--Enter Data"</formula>
    </cfRule>
    <cfRule type="cellIs" dxfId="1265" priority="259" stopIfTrue="1" operator="equal">
      <formula>"Yes"</formula>
    </cfRule>
    <cfRule type="cellIs" dxfId="1264" priority="260" stopIfTrue="1" operator="equal">
      <formula>"Not Needed"</formula>
    </cfRule>
    <cfRule type="cellIs" dxfId="1263" priority="261" stopIfTrue="1" operator="equal">
      <formula>"No"</formula>
    </cfRule>
  </conditionalFormatting>
  <conditionalFormatting sqref="F38:F41">
    <cfRule type="expression" dxfId="1262" priority="252" stopIfTrue="1">
      <formula>($X$67="Not Virtualized")</formula>
    </cfRule>
  </conditionalFormatting>
  <conditionalFormatting sqref="G38">
    <cfRule type="expression" dxfId="1261" priority="247" stopIfTrue="1">
      <formula>($X$69="Yes")</formula>
    </cfRule>
  </conditionalFormatting>
  <conditionalFormatting sqref="G38">
    <cfRule type="expression" dxfId="1260" priority="246" stopIfTrue="1">
      <formula>($X$67="Not Virtualized")</formula>
    </cfRule>
  </conditionalFormatting>
  <conditionalFormatting sqref="H7:I7">
    <cfRule type="cellIs" dxfId="1259" priority="226" stopIfTrue="1" operator="equal">
      <formula>"&lt;--Enter Data"</formula>
    </cfRule>
    <cfRule type="cellIs" dxfId="1258" priority="227" stopIfTrue="1" operator="equal">
      <formula>"Yes"</formula>
    </cfRule>
    <cfRule type="cellIs" dxfId="1257" priority="228" stopIfTrue="1" operator="equal">
      <formula>"Not Needed"</formula>
    </cfRule>
    <cfRule type="cellIs" dxfId="1256" priority="229" stopIfTrue="1" operator="equal">
      <formula>"No"</formula>
    </cfRule>
  </conditionalFormatting>
  <conditionalFormatting sqref="A44:A46">
    <cfRule type="expression" dxfId="1255" priority="237" stopIfTrue="1">
      <formula>($X$69="Yes")</formula>
    </cfRule>
  </conditionalFormatting>
  <conditionalFormatting sqref="A44:A46">
    <cfRule type="cellIs" dxfId="1254" priority="242" stopIfTrue="1" operator="equal">
      <formula>"&lt;--Enter Data"</formula>
    </cfRule>
    <cfRule type="cellIs" dxfId="1253" priority="243" stopIfTrue="1" operator="equal">
      <formula>"Yes"</formula>
    </cfRule>
    <cfRule type="cellIs" dxfId="1252" priority="244" stopIfTrue="1" operator="equal">
      <formula>"Not Needed"</formula>
    </cfRule>
    <cfRule type="cellIs" dxfId="1251" priority="245" stopIfTrue="1" operator="equal">
      <formula>"No"</formula>
    </cfRule>
  </conditionalFormatting>
  <conditionalFormatting sqref="A44:A46">
    <cfRule type="expression" dxfId="1250" priority="236" stopIfTrue="1">
      <formula>($X$67="Not Virtualized")</formula>
    </cfRule>
  </conditionalFormatting>
  <conditionalFormatting sqref="H7:I7">
    <cfRule type="expression" dxfId="1249" priority="225" stopIfTrue="1">
      <formula>($X$69="Yes")</formula>
    </cfRule>
  </conditionalFormatting>
  <conditionalFormatting sqref="H7:I7">
    <cfRule type="expression" dxfId="1248" priority="224" stopIfTrue="1">
      <formula>($X$67="Not Virtualized")</formula>
    </cfRule>
  </conditionalFormatting>
  <conditionalFormatting sqref="C14:D14">
    <cfRule type="expression" dxfId="1247" priority="219" stopIfTrue="1">
      <formula>($X$69="Yes")</formula>
    </cfRule>
  </conditionalFormatting>
  <conditionalFormatting sqref="C14:D14">
    <cfRule type="cellIs" dxfId="1246" priority="220" stopIfTrue="1" operator="equal">
      <formula>"&lt;--Enter Data"</formula>
    </cfRule>
    <cfRule type="cellIs" dxfId="1245" priority="221" stopIfTrue="1" operator="equal">
      <formula>"Yes"</formula>
    </cfRule>
    <cfRule type="cellIs" dxfId="1244" priority="222" stopIfTrue="1" operator="equal">
      <formula>"Not Needed"</formula>
    </cfRule>
    <cfRule type="cellIs" dxfId="1243" priority="223" stopIfTrue="1" operator="equal">
      <formula>"No"</formula>
    </cfRule>
  </conditionalFormatting>
  <conditionalFormatting sqref="C14:D14">
    <cfRule type="expression" dxfId="1242" priority="218" stopIfTrue="1">
      <formula>($X$67="Not Virtualized")</formula>
    </cfRule>
  </conditionalFormatting>
  <conditionalFormatting sqref="C19:D19">
    <cfRule type="expression" dxfId="1241" priority="213" stopIfTrue="1">
      <formula>($X$69="Yes")</formula>
    </cfRule>
  </conditionalFormatting>
  <conditionalFormatting sqref="C19:D19">
    <cfRule type="cellIs" dxfId="1240" priority="214" stopIfTrue="1" operator="equal">
      <formula>"&lt;--Enter Data"</formula>
    </cfRule>
    <cfRule type="cellIs" dxfId="1239" priority="215" stopIfTrue="1" operator="equal">
      <formula>"Yes"</formula>
    </cfRule>
    <cfRule type="cellIs" dxfId="1238" priority="216" stopIfTrue="1" operator="equal">
      <formula>"Not Needed"</formula>
    </cfRule>
    <cfRule type="cellIs" dxfId="1237" priority="217" stopIfTrue="1" operator="equal">
      <formula>"No"</formula>
    </cfRule>
  </conditionalFormatting>
  <conditionalFormatting sqref="C19:D19">
    <cfRule type="expression" dxfId="1236" priority="212" stopIfTrue="1">
      <formula>($X$67="Not Virtualized")</formula>
    </cfRule>
  </conditionalFormatting>
  <conditionalFormatting sqref="C38:D38">
    <cfRule type="expression" dxfId="1235" priority="207" stopIfTrue="1">
      <formula>($X$69="Yes")</formula>
    </cfRule>
  </conditionalFormatting>
  <conditionalFormatting sqref="C38:D38">
    <cfRule type="cellIs" dxfId="1234" priority="208" stopIfTrue="1" operator="equal">
      <formula>"&lt;--Enter Data"</formula>
    </cfRule>
    <cfRule type="cellIs" dxfId="1233" priority="209" stopIfTrue="1" operator="equal">
      <formula>"Yes"</formula>
    </cfRule>
    <cfRule type="cellIs" dxfId="1232" priority="210" stopIfTrue="1" operator="equal">
      <formula>"Not Needed"</formula>
    </cfRule>
    <cfRule type="cellIs" dxfId="1231" priority="211" stopIfTrue="1" operator="equal">
      <formula>"No"</formula>
    </cfRule>
  </conditionalFormatting>
  <conditionalFormatting sqref="C38:D38">
    <cfRule type="expression" dxfId="1230" priority="206" stopIfTrue="1">
      <formula>($X$67="Not Virtualized")</formula>
    </cfRule>
  </conditionalFormatting>
  <conditionalFormatting sqref="H38:I38">
    <cfRule type="expression" dxfId="1229" priority="201" stopIfTrue="1">
      <formula>($X$69="Yes")</formula>
    </cfRule>
  </conditionalFormatting>
  <conditionalFormatting sqref="H38:I38">
    <cfRule type="cellIs" dxfId="1228" priority="202" stopIfTrue="1" operator="equal">
      <formula>"&lt;--Enter Data"</formula>
    </cfRule>
    <cfRule type="cellIs" dxfId="1227" priority="203" stopIfTrue="1" operator="equal">
      <formula>"Yes"</formula>
    </cfRule>
    <cfRule type="cellIs" dxfId="1226" priority="204" stopIfTrue="1" operator="equal">
      <formula>"Not Needed"</formula>
    </cfRule>
    <cfRule type="cellIs" dxfId="1225" priority="205" stopIfTrue="1" operator="equal">
      <formula>"No"</formula>
    </cfRule>
  </conditionalFormatting>
  <conditionalFormatting sqref="H38:I38">
    <cfRule type="expression" dxfId="1224" priority="200" stopIfTrue="1">
      <formula>($X$67="Not Virtualized")</formula>
    </cfRule>
  </conditionalFormatting>
  <conditionalFormatting sqref="L8 L9:M9 M10:M13">
    <cfRule type="cellIs" dxfId="1223" priority="192" stopIfTrue="1" operator="equal">
      <formula>"&lt;--Enter Data"</formula>
    </cfRule>
    <cfRule type="cellIs" dxfId="1222" priority="193" stopIfTrue="1" operator="equal">
      <formula>"Yes"</formula>
    </cfRule>
    <cfRule type="cellIs" dxfId="1221" priority="194" stopIfTrue="1" operator="equal">
      <formula>"Not Needed"</formula>
    </cfRule>
    <cfRule type="cellIs" dxfId="1220" priority="195" stopIfTrue="1" operator="equal">
      <formula>"No"</formula>
    </cfRule>
  </conditionalFormatting>
  <conditionalFormatting sqref="O7">
    <cfRule type="cellIs" dxfId="1219" priority="196" stopIfTrue="1" operator="equal">
      <formula>"&lt;--Enter Data"</formula>
    </cfRule>
    <cfRule type="cellIs" dxfId="1218" priority="197" stopIfTrue="1" operator="equal">
      <formula>"Yes"</formula>
    </cfRule>
    <cfRule type="cellIs" dxfId="1217" priority="198" stopIfTrue="1" operator="equal">
      <formula>"Not Needed"</formula>
    </cfRule>
    <cfRule type="cellIs" dxfId="1216" priority="199" stopIfTrue="1" operator="equal">
      <formula>"No"</formula>
    </cfRule>
  </conditionalFormatting>
  <conditionalFormatting sqref="N9">
    <cfRule type="expression" dxfId="1215" priority="191" stopIfTrue="1">
      <formula>$T$6="Not Needed"</formula>
    </cfRule>
  </conditionalFormatting>
  <conditionalFormatting sqref="N10">
    <cfRule type="expression" dxfId="1214" priority="190" stopIfTrue="1">
      <formula>$T$6="Not Needed"</formula>
    </cfRule>
  </conditionalFormatting>
  <conditionalFormatting sqref="N11:N12">
    <cfRule type="expression" dxfId="1213" priority="189" stopIfTrue="1">
      <formula>$T$6="Not Needed"</formula>
    </cfRule>
  </conditionalFormatting>
  <conditionalFormatting sqref="L8 L9:N9 M10:N12 L13 L15">
    <cfRule type="expression" dxfId="1212" priority="184" stopIfTrue="1">
      <formula>$Z$47="No"</formula>
    </cfRule>
  </conditionalFormatting>
  <conditionalFormatting sqref="N9:N12">
    <cfRule type="cellIs" dxfId="1211" priority="185" stopIfTrue="1" operator="equal">
      <formula>"&lt;--Enter Data"</formula>
    </cfRule>
    <cfRule type="cellIs" dxfId="1210" priority="186" stopIfTrue="1" operator="equal">
      <formula>"Yes"</formula>
    </cfRule>
    <cfRule type="cellIs" dxfId="1209" priority="187" stopIfTrue="1" operator="equal">
      <formula>"Not Needed"</formula>
    </cfRule>
    <cfRule type="cellIs" dxfId="1208" priority="188" stopIfTrue="1" operator="equal">
      <formula>"No"</formula>
    </cfRule>
  </conditionalFormatting>
  <conditionalFormatting sqref="O7">
    <cfRule type="expression" dxfId="1207" priority="181" stopIfTrue="1">
      <formula>$Z$47="No"</formula>
    </cfRule>
  </conditionalFormatting>
  <conditionalFormatting sqref="N13">
    <cfRule type="expression" dxfId="1206" priority="176" stopIfTrue="1">
      <formula>$T$6="Not Needed"</formula>
    </cfRule>
  </conditionalFormatting>
  <conditionalFormatting sqref="N13">
    <cfRule type="expression" dxfId="1205" priority="171" stopIfTrue="1">
      <formula>$Z$47="No"</formula>
    </cfRule>
  </conditionalFormatting>
  <conditionalFormatting sqref="N13">
    <cfRule type="cellIs" dxfId="1204" priority="172" stopIfTrue="1" operator="equal">
      <formula>"&lt;--Enter Data"</formula>
    </cfRule>
    <cfRule type="cellIs" dxfId="1203" priority="173" stopIfTrue="1" operator="equal">
      <formula>"Yes"</formula>
    </cfRule>
    <cfRule type="cellIs" dxfId="1202" priority="174" stopIfTrue="1" operator="equal">
      <formula>"Not Needed"</formula>
    </cfRule>
    <cfRule type="cellIs" dxfId="1201" priority="175" stopIfTrue="1" operator="equal">
      <formula>"No"</formula>
    </cfRule>
  </conditionalFormatting>
  <conditionalFormatting sqref="M8">
    <cfRule type="expression" dxfId="1200" priority="166" stopIfTrue="1">
      <formula>($X$69="Yes")</formula>
    </cfRule>
  </conditionalFormatting>
  <conditionalFormatting sqref="M8">
    <cfRule type="cellIs" dxfId="1199" priority="167" stopIfTrue="1" operator="equal">
      <formula>"&lt;--Enter Data"</formula>
    </cfRule>
    <cfRule type="cellIs" dxfId="1198" priority="168" stopIfTrue="1" operator="equal">
      <formula>"Yes"</formula>
    </cfRule>
    <cfRule type="cellIs" dxfId="1197" priority="169" stopIfTrue="1" operator="equal">
      <formula>"Not Needed"</formula>
    </cfRule>
    <cfRule type="cellIs" dxfId="1196" priority="170" stopIfTrue="1" operator="equal">
      <formula>"No"</formula>
    </cfRule>
  </conditionalFormatting>
  <conditionalFormatting sqref="M8">
    <cfRule type="expression" dxfId="1195" priority="165" stopIfTrue="1">
      <formula>($X$67="Not Virtualized")</formula>
    </cfRule>
  </conditionalFormatting>
  <conditionalFormatting sqref="N8:O8">
    <cfRule type="expression" dxfId="1194" priority="160" stopIfTrue="1">
      <formula>($X$69="Yes")</formula>
    </cfRule>
  </conditionalFormatting>
  <conditionalFormatting sqref="N8:O8">
    <cfRule type="cellIs" dxfId="1193" priority="161" stopIfTrue="1" operator="equal">
      <formula>"&lt;--Enter Data"</formula>
    </cfRule>
    <cfRule type="cellIs" dxfId="1192" priority="162" stopIfTrue="1" operator="equal">
      <formula>"Yes"</formula>
    </cfRule>
    <cfRule type="cellIs" dxfId="1191" priority="163" stopIfTrue="1" operator="equal">
      <formula>"Not Needed"</formula>
    </cfRule>
    <cfRule type="cellIs" dxfId="1190" priority="164" stopIfTrue="1" operator="equal">
      <formula>"No"</formula>
    </cfRule>
  </conditionalFormatting>
  <conditionalFormatting sqref="N8:O8">
    <cfRule type="expression" dxfId="1189" priority="159" stopIfTrue="1">
      <formula>($X$67="Not Virtualized")</formula>
    </cfRule>
  </conditionalFormatting>
  <conditionalFormatting sqref="M13">
    <cfRule type="expression" dxfId="1188" priority="147" stopIfTrue="1">
      <formula>$Z$47="No"</formula>
    </cfRule>
  </conditionalFormatting>
  <conditionalFormatting sqref="L7">
    <cfRule type="expression" dxfId="1187" priority="146" stopIfTrue="1">
      <formula>($X$69="Yes")</formula>
    </cfRule>
  </conditionalFormatting>
  <conditionalFormatting sqref="L7">
    <cfRule type="expression" dxfId="1186" priority="145" stopIfTrue="1">
      <formula>($X$67="Not Virtualized")</formula>
    </cfRule>
  </conditionalFormatting>
  <conditionalFormatting sqref="L7">
    <cfRule type="cellIs" dxfId="1185" priority="141" stopIfTrue="1" operator="equal">
      <formula>"&lt;--Enter Data"</formula>
    </cfRule>
    <cfRule type="cellIs" dxfId="1184" priority="142" stopIfTrue="1" operator="equal">
      <formula>"Yes"</formula>
    </cfRule>
    <cfRule type="cellIs" dxfId="1183" priority="143" stopIfTrue="1" operator="equal">
      <formula>"Not Needed"</formula>
    </cfRule>
    <cfRule type="cellIs" dxfId="1182" priority="144" stopIfTrue="1" operator="equal">
      <formula>"No"</formula>
    </cfRule>
  </conditionalFormatting>
  <conditionalFormatting sqref="L10:L11 L13 L15">
    <cfRule type="cellIs" dxfId="1181" priority="137" stopIfTrue="1" operator="equal">
      <formula>"&lt;--Enter Data"</formula>
    </cfRule>
    <cfRule type="cellIs" dxfId="1180" priority="138" stopIfTrue="1" operator="equal">
      <formula>"Yes"</formula>
    </cfRule>
    <cfRule type="cellIs" dxfId="1179" priority="139" stopIfTrue="1" operator="equal">
      <formula>"Not Needed"</formula>
    </cfRule>
    <cfRule type="cellIs" dxfId="1178" priority="140" stopIfTrue="1" operator="equal">
      <formula>"No"</formula>
    </cfRule>
  </conditionalFormatting>
  <conditionalFormatting sqref="L10:L11">
    <cfRule type="expression" dxfId="1177" priority="136" stopIfTrue="1">
      <formula>$Z$47="No"</formula>
    </cfRule>
  </conditionalFormatting>
  <conditionalFormatting sqref="L12">
    <cfRule type="cellIs" dxfId="1176" priority="132" stopIfTrue="1" operator="equal">
      <formula>"&lt;--Enter Data"</formula>
    </cfRule>
    <cfRule type="cellIs" dxfId="1175" priority="133" stopIfTrue="1" operator="equal">
      <formula>"Yes"</formula>
    </cfRule>
    <cfRule type="cellIs" dxfId="1174" priority="134" stopIfTrue="1" operator="equal">
      <formula>"Not Needed"</formula>
    </cfRule>
    <cfRule type="cellIs" dxfId="1173" priority="135" stopIfTrue="1" operator="equal">
      <formula>"No"</formula>
    </cfRule>
  </conditionalFormatting>
  <conditionalFormatting sqref="L12">
    <cfRule type="expression" dxfId="1172" priority="131" stopIfTrue="1">
      <formula>$Z$47="No"</formula>
    </cfRule>
  </conditionalFormatting>
  <conditionalFormatting sqref="A43:B43">
    <cfRule type="expression" dxfId="1171" priority="126" stopIfTrue="1">
      <formula>($X$69="Yes")</formula>
    </cfRule>
  </conditionalFormatting>
  <conditionalFormatting sqref="A43:B43">
    <cfRule type="cellIs" dxfId="1170" priority="127" stopIfTrue="1" operator="equal">
      <formula>"&lt;--Enter Data"</formula>
    </cfRule>
    <cfRule type="cellIs" dxfId="1169" priority="128" stopIfTrue="1" operator="equal">
      <formula>"Yes"</formula>
    </cfRule>
    <cfRule type="cellIs" dxfId="1168" priority="129" stopIfTrue="1" operator="equal">
      <formula>"Not Needed"</formula>
    </cfRule>
    <cfRule type="cellIs" dxfId="1167" priority="130" stopIfTrue="1" operator="equal">
      <formula>"No"</formula>
    </cfRule>
  </conditionalFormatting>
  <conditionalFormatting sqref="A43:B43">
    <cfRule type="expression" dxfId="1166" priority="125" stopIfTrue="1">
      <formula>($X$67="Not Virtualized")</formula>
    </cfRule>
  </conditionalFormatting>
  <conditionalFormatting sqref="M13">
    <cfRule type="expression" dxfId="1165" priority="1072" stopIfTrue="1">
      <formula>(#REF!="Not Virtualized")</formula>
    </cfRule>
  </conditionalFormatting>
  <conditionalFormatting sqref="A55:N55">
    <cfRule type="expression" dxfId="1164" priority="114" stopIfTrue="1">
      <formula>$T$36="No"</formula>
    </cfRule>
  </conditionalFormatting>
  <conditionalFormatting sqref="B53:B55">
    <cfRule type="cellIs" dxfId="1163" priority="115" stopIfTrue="1" operator="equal">
      <formula>"Yes"</formula>
    </cfRule>
    <cfRule type="cellIs" dxfId="1162" priority="116" stopIfTrue="1" operator="equal">
      <formula>"No"</formula>
    </cfRule>
  </conditionalFormatting>
  <conditionalFormatting sqref="F49:H49">
    <cfRule type="notContainsText" dxfId="1161" priority="113" stopIfTrue="1" operator="notContains" text="vRAM in GB allocated to all VMs per host:">
      <formula>ISERROR(SEARCH("vRAM in GB allocated to all VMs per host:",F49))</formula>
    </cfRule>
  </conditionalFormatting>
  <conditionalFormatting sqref="A55:N55">
    <cfRule type="expression" dxfId="1160" priority="112" stopIfTrue="1">
      <formula>$T$36="No"</formula>
    </cfRule>
  </conditionalFormatting>
  <conditionalFormatting sqref="A47:N48 D49:N49 A51:N54 A50:M50">
    <cfRule type="expression" dxfId="1159" priority="111" stopIfTrue="1">
      <formula>($T$35="Not Virtualized")</formula>
    </cfRule>
  </conditionalFormatting>
  <conditionalFormatting sqref="A49:C49">
    <cfRule type="expression" dxfId="1158" priority="110" stopIfTrue="1">
      <formula>($T$35="Not Virtualized")</formula>
    </cfRule>
  </conditionalFormatting>
  <conditionalFormatting sqref="N50">
    <cfRule type="expression" dxfId="1157" priority="109" stopIfTrue="1">
      <formula>($T$35="Not Virtualized")</formula>
    </cfRule>
  </conditionalFormatting>
  <conditionalFormatting sqref="T69:V69">
    <cfRule type="expression" dxfId="1156" priority="108" stopIfTrue="1">
      <formula>($T$35="Not Virtualized")</formula>
    </cfRule>
  </conditionalFormatting>
  <conditionalFormatting sqref="U73">
    <cfRule type="expression" dxfId="1155" priority="107" stopIfTrue="1">
      <formula>($T$35="Not Virtualized")</formula>
    </cfRule>
  </conditionalFormatting>
  <conditionalFormatting sqref="C7">
    <cfRule type="cellIs" dxfId="1154" priority="91" stopIfTrue="1" operator="equal">
      <formula>"&lt;--Enter Data"</formula>
    </cfRule>
    <cfRule type="cellIs" dxfId="1153" priority="92" stopIfTrue="1" operator="equal">
      <formula>"Yes"</formula>
    </cfRule>
    <cfRule type="cellIs" dxfId="1152" priority="93" stopIfTrue="1" operator="equal">
      <formula>"Not Needed"</formula>
    </cfRule>
    <cfRule type="cellIs" dxfId="1151" priority="94" stopIfTrue="1" operator="equal">
      <formula>"No"</formula>
    </cfRule>
  </conditionalFormatting>
  <conditionalFormatting sqref="C7">
    <cfRule type="expression" dxfId="1150" priority="90" stopIfTrue="1">
      <formula>($X$69="Yes")</formula>
    </cfRule>
  </conditionalFormatting>
  <conditionalFormatting sqref="C7">
    <cfRule type="expression" dxfId="1149" priority="89" stopIfTrue="1">
      <formula>($X$67="Not Virtualized")</formula>
    </cfRule>
  </conditionalFormatting>
  <conditionalFormatting sqref="C43:D43">
    <cfRule type="expression" dxfId="1148" priority="84" stopIfTrue="1">
      <formula>($X$69="Yes")</formula>
    </cfRule>
  </conditionalFormatting>
  <conditionalFormatting sqref="C43:D43">
    <cfRule type="cellIs" dxfId="1147" priority="85" stopIfTrue="1" operator="equal">
      <formula>"&lt;--Enter Data"</formula>
    </cfRule>
    <cfRule type="cellIs" dxfId="1146" priority="86" stopIfTrue="1" operator="equal">
      <formula>"Yes"</formula>
    </cfRule>
    <cfRule type="cellIs" dxfId="1145" priority="87" stopIfTrue="1" operator="equal">
      <formula>"Not Needed"</formula>
    </cfRule>
    <cfRule type="cellIs" dxfId="1144" priority="88" stopIfTrue="1" operator="equal">
      <formula>"No"</formula>
    </cfRule>
  </conditionalFormatting>
  <conditionalFormatting sqref="C43:D43">
    <cfRule type="expression" dxfId="1143" priority="83" stopIfTrue="1">
      <formula>($X$67="Not Virtualized")</formula>
    </cfRule>
  </conditionalFormatting>
  <conditionalFormatting sqref="D8">
    <cfRule type="expression" dxfId="1142" priority="76">
      <formula>$D$8="No"</formula>
    </cfRule>
    <cfRule type="expression" dxfId="1141" priority="77">
      <formula>$D$8="Yes"</formula>
    </cfRule>
  </conditionalFormatting>
  <conditionalFormatting sqref="D9">
    <cfRule type="expression" dxfId="1140" priority="74">
      <formula>$D$9="No"</formula>
    </cfRule>
    <cfRule type="expression" dxfId="1139" priority="75">
      <formula>$D$9="Yes"</formula>
    </cfRule>
  </conditionalFormatting>
  <conditionalFormatting sqref="D10">
    <cfRule type="expression" dxfId="1138" priority="72">
      <formula>$D$10="No"</formula>
    </cfRule>
    <cfRule type="expression" dxfId="1137" priority="73" stopIfTrue="1">
      <formula>$D$10="Yes"</formula>
    </cfRule>
  </conditionalFormatting>
  <conditionalFormatting sqref="I8">
    <cfRule type="expression" dxfId="1136" priority="70">
      <formula>$I$8="No"</formula>
    </cfRule>
    <cfRule type="expression" dxfId="1135" priority="71">
      <formula>$I$8="Yes"</formula>
    </cfRule>
  </conditionalFormatting>
  <conditionalFormatting sqref="I9">
    <cfRule type="expression" dxfId="1134" priority="68" stopIfTrue="1">
      <formula>$I$9="No"</formula>
    </cfRule>
    <cfRule type="expression" dxfId="1133" priority="69" stopIfTrue="1">
      <formula>$I$9="Yes"</formula>
    </cfRule>
  </conditionalFormatting>
  <conditionalFormatting sqref="I10">
    <cfRule type="expression" dxfId="1132" priority="66">
      <formula>$I$10="No"</formula>
    </cfRule>
    <cfRule type="expression" dxfId="1131" priority="67">
      <formula>$I$10="Yes"</formula>
    </cfRule>
  </conditionalFormatting>
  <conditionalFormatting sqref="O9:O13">
    <cfRule type="cellIs" dxfId="1130" priority="18" stopIfTrue="1" operator="equal">
      <formula>"Yes"</formula>
    </cfRule>
    <cfRule type="cellIs" dxfId="1129" priority="19" stopIfTrue="1" operator="equal">
      <formula>"Not Needed"</formula>
    </cfRule>
    <cfRule type="cellIs" dxfId="1128" priority="64" stopIfTrue="1" operator="equal">
      <formula>"No"</formula>
    </cfRule>
  </conditionalFormatting>
  <conditionalFormatting sqref="D15">
    <cfRule type="expression" dxfId="1127" priority="54" stopIfTrue="1">
      <formula>$D$15="No"</formula>
    </cfRule>
    <cfRule type="expression" dxfId="1126" priority="55" stopIfTrue="1">
      <formula>$D$15="Yes"</formula>
    </cfRule>
  </conditionalFormatting>
  <conditionalFormatting sqref="D16">
    <cfRule type="expression" dxfId="1125" priority="52" stopIfTrue="1">
      <formula>$D$16="No"</formula>
    </cfRule>
    <cfRule type="expression" dxfId="1124" priority="53" stopIfTrue="1">
      <formula>$D$16="Yes"</formula>
    </cfRule>
  </conditionalFormatting>
  <conditionalFormatting sqref="D17">
    <cfRule type="expression" dxfId="1123" priority="50" stopIfTrue="1">
      <formula>$D$17="No"</formula>
    </cfRule>
    <cfRule type="expression" dxfId="1122" priority="51" stopIfTrue="1">
      <formula>$D$17="Yes"</formula>
    </cfRule>
  </conditionalFormatting>
  <conditionalFormatting sqref="D20">
    <cfRule type="expression" dxfId="1121" priority="48" stopIfTrue="1">
      <formula>$D$20="No"</formula>
    </cfRule>
    <cfRule type="expression" dxfId="1120" priority="49" stopIfTrue="1">
      <formula>$D$20="Yes"</formula>
    </cfRule>
  </conditionalFormatting>
  <conditionalFormatting sqref="D21">
    <cfRule type="expression" dxfId="1119" priority="46" stopIfTrue="1">
      <formula>$D$21="No"</formula>
    </cfRule>
    <cfRule type="expression" dxfId="1118" priority="47" stopIfTrue="1">
      <formula>$D$21="Yes"</formula>
    </cfRule>
  </conditionalFormatting>
  <conditionalFormatting sqref="D22">
    <cfRule type="expression" dxfId="1117" priority="44" stopIfTrue="1">
      <formula>$D$22="No"</formula>
    </cfRule>
    <cfRule type="expression" dxfId="1116" priority="45" stopIfTrue="1">
      <formula>$D$22="Yes"</formula>
    </cfRule>
  </conditionalFormatting>
  <conditionalFormatting sqref="G7">
    <cfRule type="expression" dxfId="1115" priority="33" stopIfTrue="1">
      <formula>($X$69="Yes")</formula>
    </cfRule>
  </conditionalFormatting>
  <conditionalFormatting sqref="G7">
    <cfRule type="cellIs" dxfId="1114" priority="34" stopIfTrue="1" operator="equal">
      <formula>"&lt;--Enter Data"</formula>
    </cfRule>
    <cfRule type="cellIs" dxfId="1113" priority="35" stopIfTrue="1" operator="equal">
      <formula>"Yes"</formula>
    </cfRule>
    <cfRule type="cellIs" dxfId="1112" priority="36" stopIfTrue="1" operator="equal">
      <formula>"Not Needed"</formula>
    </cfRule>
    <cfRule type="cellIs" dxfId="1111" priority="37" stopIfTrue="1" operator="equal">
      <formula>"No"</formula>
    </cfRule>
  </conditionalFormatting>
  <conditionalFormatting sqref="G7">
    <cfRule type="expression" dxfId="1110" priority="32" stopIfTrue="1">
      <formula>($X$67="Not Virtualized")</formula>
    </cfRule>
  </conditionalFormatting>
  <conditionalFormatting sqref="B14">
    <cfRule type="expression" dxfId="1109" priority="27" stopIfTrue="1">
      <formula>($X$69="Yes")</formula>
    </cfRule>
  </conditionalFormatting>
  <conditionalFormatting sqref="B14">
    <cfRule type="cellIs" dxfId="1108" priority="28" stopIfTrue="1" operator="equal">
      <formula>"&lt;--Enter Data"</formula>
    </cfRule>
    <cfRule type="cellIs" dxfId="1107" priority="29" stopIfTrue="1" operator="equal">
      <formula>"Yes"</formula>
    </cfRule>
    <cfRule type="cellIs" dxfId="1106" priority="30" stopIfTrue="1" operator="equal">
      <formula>"Not Needed"</formula>
    </cfRule>
    <cfRule type="cellIs" dxfId="1105" priority="31" stopIfTrue="1" operator="equal">
      <formula>"No"</formula>
    </cfRule>
  </conditionalFormatting>
  <conditionalFormatting sqref="B14">
    <cfRule type="expression" dxfId="1104" priority="26" stopIfTrue="1">
      <formula>($X$67="Not Virtualized")</formula>
    </cfRule>
  </conditionalFormatting>
  <conditionalFormatting sqref="B19">
    <cfRule type="expression" dxfId="1103" priority="21" stopIfTrue="1">
      <formula>($X$69="Yes")</formula>
    </cfRule>
  </conditionalFormatting>
  <conditionalFormatting sqref="B19">
    <cfRule type="cellIs" dxfId="1102" priority="22" stopIfTrue="1" operator="equal">
      <formula>"&lt;--Enter Data"</formula>
    </cfRule>
    <cfRule type="cellIs" dxfId="1101" priority="23" stopIfTrue="1" operator="equal">
      <formula>"Yes"</formula>
    </cfRule>
    <cfRule type="cellIs" dxfId="1100" priority="24" stopIfTrue="1" operator="equal">
      <formula>"Not Needed"</formula>
    </cfRule>
    <cfRule type="cellIs" dxfId="1099" priority="25" stopIfTrue="1" operator="equal">
      <formula>"No"</formula>
    </cfRule>
  </conditionalFormatting>
  <conditionalFormatting sqref="B19">
    <cfRule type="expression" dxfId="1098" priority="20" stopIfTrue="1">
      <formula>($X$67="Not Virtualized")</formula>
    </cfRule>
  </conditionalFormatting>
  <conditionalFormatting sqref="C20:D22">
    <cfRule type="expression" dxfId="1097" priority="15">
      <formula>$B$20 = "Load Balancer Not Required"</formula>
    </cfRule>
  </conditionalFormatting>
  <conditionalFormatting sqref="C15:D17">
    <cfRule type="expression" dxfId="1096" priority="13">
      <formula>$B$15 = "Separate Interop Server Not Recommended"</formula>
    </cfRule>
    <cfRule type="expression" dxfId="1095" priority="14">
      <formula>$B$15 = "Not Recommended"</formula>
    </cfRule>
  </conditionalFormatting>
  <conditionalFormatting sqref="A25:G26">
    <cfRule type="expression" dxfId="1094" priority="8" stopIfTrue="1">
      <formula>($X$69="Yes")</formula>
    </cfRule>
  </conditionalFormatting>
  <conditionalFormatting sqref="A25:G26 A27 C27:G27">
    <cfRule type="cellIs" dxfId="1093" priority="9" stopIfTrue="1" operator="equal">
      <formula>"&lt;--Enter Data"</formula>
    </cfRule>
    <cfRule type="cellIs" dxfId="1092" priority="10" stopIfTrue="1" operator="equal">
      <formula>"Yes"</formula>
    </cfRule>
    <cfRule type="cellIs" dxfId="1091" priority="11" stopIfTrue="1" operator="equal">
      <formula>"Not Needed"</formula>
    </cfRule>
    <cfRule type="cellIs" dxfId="1090" priority="12" stopIfTrue="1" operator="equal">
      <formula>"No"</formula>
    </cfRule>
  </conditionalFormatting>
  <conditionalFormatting sqref="A25:G26">
    <cfRule type="expression" dxfId="1089" priority="7" stopIfTrue="1">
      <formula>($X$67="Not Virtualized")</formula>
    </cfRule>
  </conditionalFormatting>
  <conditionalFormatting sqref="A28:A29">
    <cfRule type="expression" dxfId="1088" priority="2" stopIfTrue="1">
      <formula>($X$69="Yes")</formula>
    </cfRule>
  </conditionalFormatting>
  <conditionalFormatting sqref="A28:A29 A31">
    <cfRule type="cellIs" dxfId="1087" priority="3" stopIfTrue="1" operator="equal">
      <formula>"&lt;--Enter Data"</formula>
    </cfRule>
    <cfRule type="cellIs" dxfId="1086" priority="4" stopIfTrue="1" operator="equal">
      <formula>"Yes"</formula>
    </cfRule>
    <cfRule type="cellIs" dxfId="1085" priority="5" stopIfTrue="1" operator="equal">
      <formula>"Not Needed"</formula>
    </cfRule>
    <cfRule type="cellIs" dxfId="1084" priority="6" stopIfTrue="1" operator="equal">
      <formula>"No"</formula>
    </cfRule>
  </conditionalFormatting>
  <conditionalFormatting sqref="A28:A29">
    <cfRule type="expression" dxfId="1083" priority="1" stopIfTrue="1">
      <formula>($X$67="Not Virtualized")</formula>
    </cfRule>
  </conditionalFormatting>
  <dataValidations count="2">
    <dataValidation type="list" allowBlank="1" showInputMessage="1" showErrorMessage="1" sqref="B42:D42" xr:uid="{AFBADEB6-75E5-4C0B-A113-03C0FD84D8A1}">
      <formula1>$V$36:$V$38</formula1>
    </dataValidation>
    <dataValidation type="list" allowBlank="1" showInputMessage="1" showErrorMessage="1" sqref="I50:J50" xr:uid="{09CE4711-EAE8-4711-BB49-1C351DCD2F89}">
      <formula1>$U$69:$U$71</formula1>
    </dataValidation>
  </dataValidations>
  <hyperlinks>
    <hyperlink ref="F16:J21" location="'Virtualized Config Checklist'!A25:G25" display="'Virtualized Config Checklist'!A25:G25" xr:uid="{939CCC79-9305-473F-A6D7-2146F945410C}"/>
    <hyperlink ref="A31:G32" location="'Qvera Recommendation'!A1" display="Please click on the below to navigate to QIE Hardware &amp; Software Planner" xr:uid="{139429F5-18D5-D346-B42D-49E7B0A24289}"/>
  </hyperlink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368F556-48C0-410B-A064-2907821D07C9}">
          <x14:formula1>
            <xm:f>Defaults!$B$50:$B$52</xm:f>
          </x14:formula1>
          <xm:sqref>C35:C36</xm:sqref>
        </x14:dataValidation>
        <x14:dataValidation type="list" allowBlank="1" showInputMessage="1" showErrorMessage="1" xr:uid="{15039B58-8BE8-43FC-B2D4-05BBDCA987BF}">
          <x14:formula1>
            <xm:f>Defaults!$D$16:$D$33</xm:f>
          </x14:formula1>
          <xm:sqref>I51:J51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A6C2-6533-F341-A7DF-EB64B7CA9F62}">
  <sheetPr codeName="Sheet13"/>
  <dimension ref="A1:M22"/>
  <sheetViews>
    <sheetView zoomScale="136" zoomScaleNormal="136" workbookViewId="0">
      <selection activeCell="A15" sqref="A15:E15"/>
    </sheetView>
  </sheetViews>
  <sheetFormatPr defaultColWidth="11.3984375" defaultRowHeight="14.25"/>
  <cols>
    <col min="1" max="1" width="31" customWidth="1"/>
    <col min="2" max="2" width="38.3984375" customWidth="1"/>
    <col min="3" max="3" width="31.73046875" customWidth="1"/>
    <col min="4" max="4" width="33.1328125" customWidth="1"/>
    <col min="5" max="5" width="102.86328125" customWidth="1"/>
    <col min="13" max="13" width="24.3984375" customWidth="1"/>
  </cols>
  <sheetData>
    <row r="1" spans="1:13" ht="39" customHeight="1" thickBot="1">
      <c r="A1" s="1323" t="s">
        <v>1193</v>
      </c>
      <c r="B1" s="1324"/>
      <c r="C1" s="1324"/>
      <c r="D1" s="1324"/>
      <c r="E1" s="1325"/>
      <c r="F1" s="865"/>
      <c r="G1" s="865"/>
      <c r="H1" s="865"/>
      <c r="I1" s="865"/>
      <c r="J1" s="865"/>
      <c r="K1" s="865"/>
      <c r="L1" s="865"/>
      <c r="M1" s="865"/>
    </row>
    <row r="2" spans="1:13" ht="14.65" thickBot="1">
      <c r="A2" s="36"/>
      <c r="B2" s="36"/>
      <c r="C2" s="36"/>
      <c r="D2" s="36"/>
      <c r="E2" s="36"/>
    </row>
    <row r="3" spans="1:13" ht="23.25" thickBot="1">
      <c r="A3" s="1334" t="s">
        <v>1146</v>
      </c>
      <c r="B3" s="1335"/>
      <c r="C3" s="1335"/>
      <c r="D3" s="1335"/>
      <c r="E3" s="1336"/>
    </row>
    <row r="4" spans="1:13" ht="45.4" thickBot="1">
      <c r="A4" s="876" t="s">
        <v>253</v>
      </c>
      <c r="B4" s="877" t="s">
        <v>1147</v>
      </c>
      <c r="C4" s="877" t="s">
        <v>1148</v>
      </c>
      <c r="D4" s="877" t="s">
        <v>1149</v>
      </c>
      <c r="E4" s="877" t="s">
        <v>1150</v>
      </c>
    </row>
    <row r="5" spans="1:13" ht="15.4">
      <c r="A5" s="878" t="s">
        <v>1151</v>
      </c>
      <c r="B5" s="879" t="s">
        <v>1152</v>
      </c>
      <c r="C5" s="879" t="s">
        <v>1153</v>
      </c>
      <c r="D5" s="879" t="s">
        <v>1154</v>
      </c>
      <c r="E5" s="880" t="s">
        <v>475</v>
      </c>
    </row>
    <row r="6" spans="1:13" ht="15.4">
      <c r="A6" s="1337" t="s">
        <v>1155</v>
      </c>
      <c r="B6" s="864" t="s">
        <v>1156</v>
      </c>
      <c r="C6" s="864" t="s">
        <v>1157</v>
      </c>
      <c r="D6" s="864" t="s">
        <v>1158</v>
      </c>
      <c r="E6" s="869" t="s">
        <v>1159</v>
      </c>
    </row>
    <row r="7" spans="1:13" ht="15.4">
      <c r="A7" s="1337"/>
      <c r="B7" s="1329" t="s">
        <v>1160</v>
      </c>
      <c r="C7" s="1329"/>
      <c r="D7" s="1329"/>
      <c r="E7" s="1330"/>
    </row>
    <row r="8" spans="1:13" ht="15.4">
      <c r="A8" s="868" t="s">
        <v>1161</v>
      </c>
      <c r="B8" s="864" t="s">
        <v>1162</v>
      </c>
      <c r="C8" s="864" t="s">
        <v>1163</v>
      </c>
      <c r="D8" s="864" t="s">
        <v>1164</v>
      </c>
      <c r="E8" s="869" t="s">
        <v>1165</v>
      </c>
    </row>
    <row r="9" spans="1:13" ht="15.4">
      <c r="A9" s="1328" t="s">
        <v>1166</v>
      </c>
      <c r="B9" s="864" t="s">
        <v>1167</v>
      </c>
      <c r="C9" s="864" t="s">
        <v>1162</v>
      </c>
      <c r="D9" s="864" t="s">
        <v>1163</v>
      </c>
      <c r="E9" s="869" t="s">
        <v>1168</v>
      </c>
    </row>
    <row r="10" spans="1:13" ht="15.4">
      <c r="A10" s="1328"/>
      <c r="B10" s="1329" t="s">
        <v>1169</v>
      </c>
      <c r="C10" s="1329"/>
      <c r="D10" s="1329"/>
      <c r="E10" s="1330"/>
    </row>
    <row r="11" spans="1:13" ht="15.4">
      <c r="A11" s="1328" t="s">
        <v>1170</v>
      </c>
      <c r="B11" s="864" t="s">
        <v>1171</v>
      </c>
      <c r="C11" s="864" t="s">
        <v>1172</v>
      </c>
      <c r="D11" s="864" t="s">
        <v>1173</v>
      </c>
      <c r="E11" s="869" t="s">
        <v>1174</v>
      </c>
    </row>
    <row r="12" spans="1:13" ht="15.4">
      <c r="A12" s="1328"/>
      <c r="B12" s="1329" t="s">
        <v>1175</v>
      </c>
      <c r="C12" s="1329"/>
      <c r="D12" s="1329"/>
      <c r="E12" s="1330"/>
    </row>
    <row r="13" spans="1:13" ht="15.4">
      <c r="A13" s="1328" t="s">
        <v>1176</v>
      </c>
      <c r="B13" s="864" t="s">
        <v>1177</v>
      </c>
      <c r="C13" s="864" t="s">
        <v>1178</v>
      </c>
      <c r="D13" s="864" t="s">
        <v>1178</v>
      </c>
      <c r="E13" s="869" t="s">
        <v>1178</v>
      </c>
    </row>
    <row r="14" spans="1:13" ht="15.75" thickBot="1">
      <c r="A14" s="1331"/>
      <c r="B14" s="1332" t="s">
        <v>1179</v>
      </c>
      <c r="C14" s="1332"/>
      <c r="D14" s="1332"/>
      <c r="E14" s="1333"/>
    </row>
    <row r="15" spans="1:13" ht="81.75" customHeight="1" thickBot="1">
      <c r="A15" s="1326" t="s">
        <v>1230</v>
      </c>
      <c r="B15" s="1327"/>
      <c r="C15" s="1327"/>
      <c r="D15" s="1327"/>
      <c r="E15" s="1327"/>
    </row>
    <row r="16" spans="1:13" ht="23.25" thickBot="1">
      <c r="A16" s="1334" t="s">
        <v>1180</v>
      </c>
      <c r="B16" s="1335"/>
      <c r="C16" s="1335"/>
      <c r="D16" s="1335"/>
      <c r="E16" s="1336"/>
    </row>
    <row r="17" spans="1:5" ht="45.4" thickBot="1">
      <c r="A17" s="876" t="s">
        <v>253</v>
      </c>
      <c r="B17" s="877" t="s">
        <v>1147</v>
      </c>
      <c r="C17" s="877" t="s">
        <v>1148</v>
      </c>
      <c r="D17" s="877" t="s">
        <v>1149</v>
      </c>
      <c r="E17" s="877" t="s">
        <v>1150</v>
      </c>
    </row>
    <row r="18" spans="1:5" ht="51" customHeight="1">
      <c r="A18" s="873" t="s">
        <v>1194</v>
      </c>
      <c r="B18" s="874" t="s">
        <v>1181</v>
      </c>
      <c r="C18" s="874" t="s">
        <v>1181</v>
      </c>
      <c r="D18" s="874" t="s">
        <v>1181</v>
      </c>
      <c r="E18" s="875" t="s">
        <v>1181</v>
      </c>
    </row>
    <row r="19" spans="1:5" ht="33.950000000000003" customHeight="1">
      <c r="A19" s="870" t="s">
        <v>1182</v>
      </c>
      <c r="B19" s="1319" t="s">
        <v>1183</v>
      </c>
      <c r="C19" s="1319"/>
      <c r="D19" s="1319"/>
      <c r="E19" s="1320"/>
    </row>
    <row r="20" spans="1:5">
      <c r="A20" s="1318" t="s">
        <v>1184</v>
      </c>
      <c r="B20" s="834" t="s">
        <v>1185</v>
      </c>
      <c r="C20" s="834" t="s">
        <v>1186</v>
      </c>
      <c r="D20" s="834" t="s">
        <v>1187</v>
      </c>
      <c r="E20" s="871" t="s">
        <v>1187</v>
      </c>
    </row>
    <row r="21" spans="1:5">
      <c r="A21" s="1318"/>
      <c r="B21" s="1319" t="s">
        <v>1188</v>
      </c>
      <c r="C21" s="1319"/>
      <c r="D21" s="1319"/>
      <c r="E21" s="1320"/>
    </row>
    <row r="22" spans="1:5" ht="32.1" customHeight="1" thickBot="1">
      <c r="A22" s="872" t="s">
        <v>1189</v>
      </c>
      <c r="B22" s="1321" t="s">
        <v>1190</v>
      </c>
      <c r="C22" s="1321"/>
      <c r="D22" s="1321"/>
      <c r="E22" s="1322"/>
    </row>
  </sheetData>
  <sheetProtection algorithmName="SHA-512" hashValue="e6drq3iEVBC1gQ9AfSztNeDfFddJVXx/yLP6Js2eTn15wRDc+rN+l3YeSQRjvGXnL5PD5r6lb1sYp3VoVOQy3g==" saltValue="oQDbQDVyXx45oTaXDpBH/w==" spinCount="100000" sheet="1" objects="1" scenarios="1"/>
  <mergeCells count="16">
    <mergeCell ref="A20:A21"/>
    <mergeCell ref="B21:E21"/>
    <mergeCell ref="B22:E22"/>
    <mergeCell ref="A1:E1"/>
    <mergeCell ref="A15:E15"/>
    <mergeCell ref="A11:A12"/>
    <mergeCell ref="B12:E12"/>
    <mergeCell ref="A13:A14"/>
    <mergeCell ref="B14:E14"/>
    <mergeCell ref="A16:E16"/>
    <mergeCell ref="B19:E19"/>
    <mergeCell ref="A3:E3"/>
    <mergeCell ref="A6:A7"/>
    <mergeCell ref="B7:E7"/>
    <mergeCell ref="A9:A10"/>
    <mergeCell ref="B10:E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N13"/>
  <sheetViews>
    <sheetView workbookViewId="0">
      <selection activeCell="J11" sqref="J11"/>
    </sheetView>
  </sheetViews>
  <sheetFormatPr defaultColWidth="8.86328125" defaultRowHeight="14.25"/>
  <cols>
    <col min="1" max="1" width="87.3984375" style="460" customWidth="1"/>
    <col min="2" max="2" width="20.73046875" customWidth="1"/>
    <col min="3" max="3" width="20.1328125" customWidth="1"/>
    <col min="4" max="8" width="9.1328125" hidden="1" customWidth="1"/>
    <col min="12" max="14" width="0" hidden="1" customWidth="1"/>
  </cols>
  <sheetData>
    <row r="1" spans="1:14" ht="18" thickBot="1">
      <c r="A1" s="1338" t="s">
        <v>888</v>
      </c>
      <c r="B1" s="1339"/>
    </row>
    <row r="2" spans="1:14">
      <c r="A2" s="462" t="s">
        <v>902</v>
      </c>
      <c r="B2" s="297"/>
      <c r="N2">
        <v>70</v>
      </c>
    </row>
    <row r="3" spans="1:14">
      <c r="A3" s="461" t="s">
        <v>903</v>
      </c>
      <c r="B3" s="297">
        <v>50</v>
      </c>
      <c r="G3">
        <v>0</v>
      </c>
      <c r="N3">
        <v>80</v>
      </c>
    </row>
    <row r="4" spans="1:14">
      <c r="A4" s="465" t="s">
        <v>889</v>
      </c>
      <c r="B4" s="470">
        <f>((((B2*(B3/100))*2)*950)/1024000)</f>
        <v>0</v>
      </c>
      <c r="D4" t="s">
        <v>892</v>
      </c>
      <c r="E4">
        <f>B4</f>
        <v>0</v>
      </c>
      <c r="G4">
        <v>10</v>
      </c>
      <c r="N4">
        <v>90</v>
      </c>
    </row>
    <row r="5" spans="1:14">
      <c r="A5" s="465" t="s">
        <v>890</v>
      </c>
      <c r="B5" s="470">
        <f>SUM(E4:E10)</f>
        <v>0</v>
      </c>
      <c r="D5" t="s">
        <v>891</v>
      </c>
      <c r="E5">
        <f>(E4+(E4*0.2))</f>
        <v>0</v>
      </c>
      <c r="G5">
        <v>20</v>
      </c>
    </row>
    <row r="6" spans="1:14">
      <c r="A6" s="1340" t="s">
        <v>901</v>
      </c>
      <c r="B6" s="1341"/>
      <c r="D6" t="s">
        <v>904</v>
      </c>
      <c r="E6">
        <f t="shared" ref="E6:E10" si="0">(E5+(E5*0.2))</f>
        <v>0</v>
      </c>
      <c r="G6">
        <v>30</v>
      </c>
    </row>
    <row r="7" spans="1:14" ht="14.65" thickBot="1">
      <c r="A7" s="1342"/>
      <c r="B7" s="1343"/>
      <c r="D7" t="s">
        <v>893</v>
      </c>
      <c r="E7">
        <f t="shared" si="0"/>
        <v>0</v>
      </c>
      <c r="G7">
        <v>40</v>
      </c>
    </row>
    <row r="8" spans="1:14">
      <c r="D8" t="s">
        <v>905</v>
      </c>
      <c r="E8">
        <f t="shared" si="0"/>
        <v>0</v>
      </c>
      <c r="G8">
        <v>50</v>
      </c>
    </row>
    <row r="9" spans="1:14">
      <c r="D9" t="s">
        <v>894</v>
      </c>
      <c r="E9">
        <f t="shared" si="0"/>
        <v>0</v>
      </c>
      <c r="G9">
        <v>60</v>
      </c>
    </row>
    <row r="10" spans="1:14">
      <c r="D10" t="s">
        <v>895</v>
      </c>
      <c r="E10">
        <f t="shared" si="0"/>
        <v>0</v>
      </c>
      <c r="G10">
        <v>70</v>
      </c>
    </row>
    <row r="11" spans="1:14">
      <c r="G11">
        <v>80</v>
      </c>
    </row>
    <row r="12" spans="1:14">
      <c r="G12">
        <v>90</v>
      </c>
    </row>
    <row r="13" spans="1:14">
      <c r="G13">
        <v>100</v>
      </c>
    </row>
  </sheetData>
  <sheetProtection algorithmName="SHA-512" hashValue="J+U8JSuh1hwTaYsOeLTbjTRmAhfabOsltnat/iwnzMfRh7fgkErR0gUQiEkBFA//XdUsnsRjDzsyP5zifJ6vGg==" saltValue="cvlOnsPRMxXNPaoddcNnJg==" spinCount="100000" sheet="1" objects="1" scenarios="1"/>
  <mergeCells count="2">
    <mergeCell ref="A1:B1"/>
    <mergeCell ref="A6:B7"/>
  </mergeCells>
  <conditionalFormatting sqref="A1">
    <cfRule type="cellIs" dxfId="1082" priority="40" stopIfTrue="1" operator="equal">
      <formula>"&lt;--Enter Data"</formula>
    </cfRule>
    <cfRule type="cellIs" dxfId="1081" priority="41" stopIfTrue="1" operator="equal">
      <formula>"Yes"</formula>
    </cfRule>
    <cfRule type="cellIs" dxfId="1080" priority="42" stopIfTrue="1" operator="equal">
      <formula>"Not Needed"</formula>
    </cfRule>
    <cfRule type="cellIs" dxfId="1079" priority="43" stopIfTrue="1" operator="equal">
      <formula>"No"</formula>
    </cfRule>
  </conditionalFormatting>
  <conditionalFormatting sqref="A1">
    <cfRule type="expression" dxfId="1078" priority="38" stopIfTrue="1">
      <formula>$V$19="No"</formula>
    </cfRule>
  </conditionalFormatting>
  <conditionalFormatting sqref="A6">
    <cfRule type="cellIs" dxfId="1077" priority="34" stopIfTrue="1" operator="equal">
      <formula>"&lt;--Enter Data"</formula>
    </cfRule>
    <cfRule type="cellIs" dxfId="1076" priority="35" stopIfTrue="1" operator="equal">
      <formula>"Yes"</formula>
    </cfRule>
    <cfRule type="cellIs" dxfId="1075" priority="36" stopIfTrue="1" operator="equal">
      <formula>"Not Needed"</formula>
    </cfRule>
    <cfRule type="cellIs" dxfId="1074" priority="37" stopIfTrue="1" operator="equal">
      <formula>"No"</formula>
    </cfRule>
  </conditionalFormatting>
  <conditionalFormatting sqref="A6">
    <cfRule type="expression" dxfId="1073" priority="33" stopIfTrue="1">
      <formula>($V$18="Not Virtualized")</formula>
    </cfRule>
  </conditionalFormatting>
  <conditionalFormatting sqref="A2">
    <cfRule type="cellIs" dxfId="1072" priority="23" stopIfTrue="1" operator="equal">
      <formula>"&lt;--Enter Data"</formula>
    </cfRule>
    <cfRule type="cellIs" dxfId="1071" priority="24" stopIfTrue="1" operator="equal">
      <formula>"Yes"</formula>
    </cfRule>
    <cfRule type="cellIs" dxfId="1070" priority="25" stopIfTrue="1" operator="equal">
      <formula>"Not Needed"</formula>
    </cfRule>
    <cfRule type="cellIs" dxfId="1069" priority="26" stopIfTrue="1" operator="equal">
      <formula>"No"</formula>
    </cfRule>
  </conditionalFormatting>
  <conditionalFormatting sqref="A2">
    <cfRule type="expression" dxfId="1068" priority="22" stopIfTrue="1">
      <formula>$V$19="No"</formula>
    </cfRule>
  </conditionalFormatting>
  <conditionalFormatting sqref="A2">
    <cfRule type="expression" dxfId="1067" priority="21" stopIfTrue="1">
      <formula>$V$19="No"</formula>
    </cfRule>
  </conditionalFormatting>
  <conditionalFormatting sqref="A3">
    <cfRule type="cellIs" dxfId="1066" priority="12" stopIfTrue="1" operator="equal">
      <formula>"&lt;--Enter Data"</formula>
    </cfRule>
    <cfRule type="cellIs" dxfId="1065" priority="13" stopIfTrue="1" operator="equal">
      <formula>"Yes"</formula>
    </cfRule>
    <cfRule type="cellIs" dxfId="1064" priority="14" stopIfTrue="1" operator="equal">
      <formula>"Not Needed"</formula>
    </cfRule>
    <cfRule type="cellIs" dxfId="1063" priority="15" stopIfTrue="1" operator="equal">
      <formula>"No"</formula>
    </cfRule>
  </conditionalFormatting>
  <conditionalFormatting sqref="A3">
    <cfRule type="expression" dxfId="1062" priority="11" stopIfTrue="1">
      <formula>$V$19="No"</formula>
    </cfRule>
  </conditionalFormatting>
  <conditionalFormatting sqref="A4">
    <cfRule type="cellIs" dxfId="1061" priority="7" stopIfTrue="1" operator="equal">
      <formula>"&lt;--Enter Data"</formula>
    </cfRule>
    <cfRule type="cellIs" dxfId="1060" priority="8" stopIfTrue="1" operator="equal">
      <formula>"Yes"</formula>
    </cfRule>
    <cfRule type="cellIs" dxfId="1059" priority="9" stopIfTrue="1" operator="equal">
      <formula>"Not Needed"</formula>
    </cfRule>
    <cfRule type="cellIs" dxfId="1058" priority="10" stopIfTrue="1" operator="equal">
      <formula>"No"</formula>
    </cfRule>
  </conditionalFormatting>
  <conditionalFormatting sqref="A4">
    <cfRule type="expression" dxfId="1057" priority="6" stopIfTrue="1">
      <formula>$V$19="No"</formula>
    </cfRule>
  </conditionalFormatting>
  <conditionalFormatting sqref="A5">
    <cfRule type="cellIs" dxfId="1056" priority="2" stopIfTrue="1" operator="equal">
      <formula>"&lt;--Enter Data"</formula>
    </cfRule>
    <cfRule type="cellIs" dxfId="1055" priority="3" stopIfTrue="1" operator="equal">
      <formula>"Yes"</formula>
    </cfRule>
    <cfRule type="cellIs" dxfId="1054" priority="4" stopIfTrue="1" operator="equal">
      <formula>"Not Needed"</formula>
    </cfRule>
    <cfRule type="cellIs" dxfId="1053" priority="5" stopIfTrue="1" operator="equal">
      <formula>"No"</formula>
    </cfRule>
  </conditionalFormatting>
  <conditionalFormatting sqref="A5">
    <cfRule type="expression" dxfId="1052" priority="1" stopIfTrue="1">
      <formula>$V$19="No"</formula>
    </cfRule>
  </conditionalFormatting>
  <dataValidations count="1">
    <dataValidation type="list" allowBlank="1" showInputMessage="1" showErrorMessage="1" sqref="B3" xr:uid="{00000000-0002-0000-0500-000000000000}">
      <formula1>$G$3:$G$13</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D89"/>
  <sheetViews>
    <sheetView topLeftCell="Z34" zoomScale="90" zoomScaleNormal="90" workbookViewId="0">
      <selection activeCell="AE42" sqref="AE42"/>
    </sheetView>
  </sheetViews>
  <sheetFormatPr defaultColWidth="9.1328125" defaultRowHeight="14.25"/>
  <cols>
    <col min="1" max="1" width="28.3984375" customWidth="1"/>
    <col min="2" max="2" width="12" customWidth="1"/>
    <col min="3" max="3" width="15.86328125" customWidth="1"/>
    <col min="4" max="4" width="13" customWidth="1"/>
    <col min="5" max="5" width="9.1328125" hidden="1" customWidth="1"/>
    <col min="6" max="6" width="29.3984375" hidden="1" customWidth="1"/>
    <col min="7" max="7" width="11.3984375" hidden="1" customWidth="1"/>
    <col min="8" max="8" width="13.265625" hidden="1" customWidth="1"/>
    <col min="9" max="9" width="15.1328125" hidden="1" customWidth="1"/>
    <col min="10" max="11" width="15.1328125" customWidth="1"/>
    <col min="12" max="12" width="24.1328125" customWidth="1"/>
    <col min="13" max="15" width="15.1328125" customWidth="1"/>
    <col min="16" max="16" width="8.265625" customWidth="1"/>
    <col min="17" max="17" width="26.1328125" customWidth="1"/>
    <col min="18" max="18" width="15.265625" customWidth="1"/>
    <col min="19" max="19" width="16.3984375" customWidth="1"/>
    <col min="20" max="20" width="13.3984375" customWidth="1"/>
    <col min="21" max="21" width="9.1328125" style="358" customWidth="1"/>
    <col min="22" max="22" width="15.86328125" style="358" customWidth="1"/>
    <col min="23" max="23" width="11.3984375" style="358" customWidth="1"/>
    <col min="24" max="24" width="10" style="358" customWidth="1"/>
    <col min="25" max="25" width="29.3984375" style="358" customWidth="1"/>
    <col min="26" max="26" width="22.86328125" style="358" customWidth="1"/>
    <col min="27" max="27" width="24.3984375" style="358" customWidth="1"/>
    <col min="28" max="28" width="11.86328125" style="358" customWidth="1"/>
    <col min="29" max="29" width="20.3984375" style="358" customWidth="1"/>
    <col min="30" max="30" width="20.265625" style="358" customWidth="1"/>
    <col min="31" max="31" width="9.3984375" style="358" customWidth="1"/>
    <col min="32" max="32" width="12" style="358" customWidth="1"/>
    <col min="33" max="33" width="14.3984375" style="358" customWidth="1"/>
    <col min="34" max="34" width="11" style="358" customWidth="1"/>
    <col min="35" max="35" width="9.1328125" style="358" customWidth="1"/>
    <col min="36" max="36" width="13.1328125" style="358" customWidth="1"/>
    <col min="37" max="38" width="9.1328125" style="358" customWidth="1"/>
    <col min="39" max="48" width="9.1328125" style="5" customWidth="1"/>
    <col min="49" max="50" width="9.1328125" customWidth="1"/>
  </cols>
  <sheetData>
    <row r="1" spans="1:48" ht="23.65" thickBot="1">
      <c r="A1" s="299"/>
      <c r="B1" s="300"/>
      <c r="C1" s="300"/>
      <c r="D1" s="300"/>
      <c r="E1" s="300"/>
      <c r="F1" s="301" t="s">
        <v>129</v>
      </c>
      <c r="G1" s="300"/>
      <c r="H1" s="300"/>
      <c r="I1" s="300"/>
      <c r="J1" s="300"/>
      <c r="K1" s="300"/>
      <c r="L1" s="300"/>
      <c r="M1" s="300"/>
      <c r="N1" s="300"/>
      <c r="O1" s="300"/>
      <c r="P1" s="300"/>
      <c r="Q1" s="300"/>
      <c r="R1" s="300"/>
      <c r="S1" s="300"/>
      <c r="T1" s="302"/>
      <c r="V1" s="359" t="s">
        <v>791</v>
      </c>
      <c r="W1" s="359" t="str">
        <f>IF('Clinical Info'!H6="CPS (PM only)", "Yes", "No")</f>
        <v>No</v>
      </c>
      <c r="X1" s="360" t="s">
        <v>766</v>
      </c>
      <c r="AA1" s="361"/>
      <c r="AB1" s="361"/>
    </row>
    <row r="2" spans="1:48" ht="15.4" thickBot="1">
      <c r="A2" s="1359" t="str">
        <f>IF(AND(Z45="Not Virtualized",Z46="No"),"You have indicated your environment will not be virtualized (Database Server Info tab K3 and Citrix or Terminal Server Info tab H5). Therefore no information is required in this section","Please complete all blue cells where applicable")</f>
        <v>Please complete all blue cells where applicable</v>
      </c>
      <c r="B2" s="1360"/>
      <c r="C2" s="1360"/>
      <c r="D2" s="1360"/>
      <c r="E2" s="1360"/>
      <c r="F2" s="1360"/>
      <c r="G2" s="1360"/>
      <c r="H2" s="1360"/>
      <c r="I2" s="1360"/>
      <c r="J2" s="1360"/>
      <c r="K2" s="1360"/>
      <c r="L2" s="1360"/>
      <c r="M2" s="1360"/>
      <c r="N2" s="1360"/>
      <c r="O2" s="1360"/>
      <c r="P2" s="1360"/>
      <c r="Q2" s="1360"/>
      <c r="R2" s="1360"/>
      <c r="S2" s="1360"/>
      <c r="T2" s="1361"/>
      <c r="V2" s="464">
        <f>B30</f>
        <v>0</v>
      </c>
      <c r="X2" s="362" t="b">
        <f>OR(M18="Yes",'Physical Config Checklist '!I58="Yes")</f>
        <v>1</v>
      </c>
      <c r="Y2" s="358" t="s">
        <v>87</v>
      </c>
      <c r="Z2" s="363" t="s">
        <v>60</v>
      </c>
      <c r="AA2" s="364" t="s">
        <v>44</v>
      </c>
      <c r="AC2" s="359" t="s">
        <v>952</v>
      </c>
      <c r="AD2" s="359"/>
    </row>
    <row r="3" spans="1:48" ht="109.5" customHeight="1" thickBot="1">
      <c r="A3" s="1377" t="s">
        <v>979</v>
      </c>
      <c r="B3" s="1378"/>
      <c r="C3" s="1378"/>
      <c r="D3" s="1378"/>
      <c r="E3" s="1378"/>
      <c r="F3" s="1378"/>
      <c r="G3" s="1378"/>
      <c r="H3" s="1378"/>
      <c r="I3" s="1378"/>
      <c r="J3" s="1378"/>
      <c r="K3" s="1378"/>
      <c r="L3" s="1378"/>
      <c r="M3" s="1378"/>
      <c r="N3" s="1378"/>
      <c r="O3" s="1378"/>
      <c r="P3" s="1379"/>
      <c r="Q3" s="455" t="s">
        <v>887</v>
      </c>
      <c r="R3" s="456">
        <f>'Citrix or Terminal Server Info'!H9</f>
        <v>0</v>
      </c>
      <c r="S3" s="457"/>
      <c r="T3" s="458"/>
      <c r="X3" s="365" t="str">
        <f>IF(X2=TRUE,"Yes","No")</f>
        <v>Yes</v>
      </c>
      <c r="Z3" s="366" t="s">
        <v>45</v>
      </c>
      <c r="AA3" s="367"/>
      <c r="AC3" s="359" t="s">
        <v>953</v>
      </c>
      <c r="AD3" s="518">
        <f>'Clinical Info'!H9</f>
        <v>0</v>
      </c>
    </row>
    <row r="4" spans="1:48" ht="24.75" customHeight="1" thickBot="1">
      <c r="A4" s="1312" t="s">
        <v>981</v>
      </c>
      <c r="B4" s="1313"/>
      <c r="C4" s="1313"/>
      <c r="D4" s="1313"/>
      <c r="E4" s="1313"/>
      <c r="F4" s="1313"/>
      <c r="G4" s="1313"/>
      <c r="H4" s="1313"/>
      <c r="I4" s="1313"/>
      <c r="J4" s="1313"/>
      <c r="K4" s="1313"/>
      <c r="L4" s="1313"/>
      <c r="M4" s="1313"/>
      <c r="N4" s="1313"/>
      <c r="O4" s="1313"/>
      <c r="P4" s="1314"/>
      <c r="Q4" s="637" t="s">
        <v>112</v>
      </c>
      <c r="R4" s="543" t="str">
        <f>B5</f>
        <v>GE Spec</v>
      </c>
      <c r="S4" s="543">
        <f>C5</f>
        <v>0</v>
      </c>
      <c r="T4" s="544" t="str">
        <f>D5</f>
        <v>In Spec?</v>
      </c>
      <c r="Z4" s="366"/>
      <c r="AA4" s="367"/>
      <c r="AC4" s="375"/>
      <c r="AD4" s="623"/>
    </row>
    <row r="5" spans="1:48" s="2" customFormat="1" ht="36" customHeight="1" thickBot="1">
      <c r="A5" s="595" t="s">
        <v>980</v>
      </c>
      <c r="B5" s="596" t="s">
        <v>30</v>
      </c>
      <c r="C5" s="597"/>
      <c r="D5" s="598" t="s">
        <v>41</v>
      </c>
      <c r="E5" s="522"/>
      <c r="F5" s="522" t="s">
        <v>494</v>
      </c>
      <c r="G5" s="522" t="str">
        <f>B5</f>
        <v>GE Spec</v>
      </c>
      <c r="H5" s="522"/>
      <c r="I5" s="522" t="str">
        <f>D5</f>
        <v>In Spec?</v>
      </c>
      <c r="J5" s="1383" t="s">
        <v>1001</v>
      </c>
      <c r="K5" s="1383"/>
      <c r="L5" s="1383"/>
      <c r="M5" s="1383"/>
      <c r="N5" s="1383"/>
      <c r="O5" s="1383"/>
      <c r="P5" s="599"/>
      <c r="Q5" s="547" t="s">
        <v>928</v>
      </c>
      <c r="R5" s="545">
        <f>'Citrix or Terminal Server Info'!F22</f>
        <v>4</v>
      </c>
      <c r="S5" s="546"/>
      <c r="T5" s="548" t="str">
        <f>IF('Citrix or Terminal Server Info'!$H$3="No","Not Needed",IF(S5="","&lt;--Enter Data",IF(S5&gt;=R5,"Yes","No")))</f>
        <v>&lt;--Enter Data</v>
      </c>
      <c r="U5" s="368"/>
      <c r="V5" s="368"/>
      <c r="W5" s="368"/>
      <c r="X5" s="368"/>
      <c r="Y5" s="358"/>
      <c r="Z5" s="369" t="s">
        <v>42</v>
      </c>
      <c r="AA5" s="370"/>
      <c r="AB5" s="368"/>
      <c r="AC5" s="517" t="s">
        <v>954</v>
      </c>
      <c r="AD5" s="519">
        <f>IF(AD3&lt;25,4,IF(AND(AD3&gt;=25,AD3&lt;=50),4,IF(AND(AD3&gt;50,AD3&lt;=100),6,IF(AND(AD3&gt;100,AD3&lt;=200),4,IF(AND(AD3&gt;200,AD3&lt;=3000),4)))))</f>
        <v>4</v>
      </c>
      <c r="AE5" s="368"/>
      <c r="AF5" s="368"/>
      <c r="AG5" s="368"/>
      <c r="AH5" s="368"/>
      <c r="AI5" s="368"/>
      <c r="AJ5" s="368"/>
      <c r="AK5" s="368"/>
      <c r="AL5" s="368"/>
      <c r="AM5" s="11"/>
      <c r="AN5" s="11"/>
      <c r="AO5" s="11"/>
      <c r="AP5" s="11"/>
      <c r="AQ5" s="11"/>
      <c r="AR5" s="11"/>
      <c r="AS5" s="11"/>
      <c r="AT5" s="11"/>
      <c r="AU5" s="11"/>
      <c r="AV5" s="11"/>
    </row>
    <row r="6" spans="1:48" ht="15" customHeight="1">
      <c r="A6" s="582" t="s">
        <v>32</v>
      </c>
      <c r="B6" s="577">
        <f>'Database Server Info'!K18</f>
        <v>4</v>
      </c>
      <c r="C6" s="578"/>
      <c r="D6" s="579" t="str">
        <f>IF(C6="","&lt;--Enter Data",IF(C6&gt;=B6,"Yes","No"))</f>
        <v>&lt;--Enter Data</v>
      </c>
      <c r="E6" s="522"/>
      <c r="F6" s="522" t="s">
        <v>32</v>
      </c>
      <c r="G6" s="522">
        <f>IF(B29&gt;1,"N/A",IF('Database Server Info'!Q4&lt;50,B6+B11,""))</f>
        <v>8</v>
      </c>
      <c r="H6" s="522"/>
      <c r="I6" s="522" t="str">
        <f>IF(G6="","Not Applicable",IF(H6="","&lt;--Enter Data",IF(H6&gt;=G6,"Yes","No")))</f>
        <v>&lt;--Enter Data</v>
      </c>
      <c r="J6" s="1383"/>
      <c r="K6" s="1383"/>
      <c r="L6" s="1383"/>
      <c r="M6" s="1383"/>
      <c r="N6" s="1383"/>
      <c r="O6" s="1383"/>
      <c r="P6" s="522"/>
      <c r="Q6" s="547" t="s">
        <v>929</v>
      </c>
      <c r="R6" s="545">
        <f>'Citrix or Terminal Server Info'!F23</f>
        <v>10</v>
      </c>
      <c r="S6" s="546"/>
      <c r="T6" s="548" t="str">
        <f>IF('Citrix or Terminal Server Info'!$H$3="No","Not Needed",IF(S6="","&lt;--Enter Data",IF(S6&gt;=R6,"Yes","No")))</f>
        <v>&lt;--Enter Data</v>
      </c>
      <c r="AC6" s="359" t="s">
        <v>955</v>
      </c>
      <c r="AD6" s="520">
        <f>IF(AD3&lt;25,9,IF(AND(AD3&gt;=25,AD3&lt;=50),13,IF(AND(AD3&gt;50,AD3&lt;=100),16,IF(AND(AD3&gt;100,AD3&lt;=200),13,IF(AND(AD3&gt;200,AD3&lt;=3000),13)))))</f>
        <v>9</v>
      </c>
    </row>
    <row r="7" spans="1:48" ht="14.65" thickBot="1">
      <c r="A7" s="583" t="s">
        <v>33</v>
      </c>
      <c r="B7" s="624">
        <f>'Database Server Info'!K17</f>
        <v>12</v>
      </c>
      <c r="C7" s="625"/>
      <c r="D7" s="580" t="str">
        <f>IF(C7="","&lt;--Enter Data",IF(C7&gt;=B7,"Yes","No"))</f>
        <v>&lt;--Enter Data</v>
      </c>
      <c r="E7" s="522"/>
      <c r="F7" s="522" t="s">
        <v>33</v>
      </c>
      <c r="G7" s="522">
        <f>IF(B29&gt;1,"N/A",IF('Database Server Info'!Q4&lt;50,B7+B12,""))</f>
        <v>21</v>
      </c>
      <c r="H7" s="522"/>
      <c r="I7" s="522" t="str">
        <f>IF(G7="","Not Applicable",IF(H7="","&lt;--Enter Data",IF(H7&gt;=G7,"Yes","No")))</f>
        <v>&lt;--Enter Data</v>
      </c>
      <c r="J7" s="1383"/>
      <c r="K7" s="1383"/>
      <c r="L7" s="1383"/>
      <c r="M7" s="1383"/>
      <c r="N7" s="1383"/>
      <c r="O7" s="1383"/>
      <c r="P7" s="522"/>
      <c r="Q7" s="552" t="s">
        <v>930</v>
      </c>
      <c r="R7" s="545">
        <f>'Citrix or Terminal Server Info'!F24</f>
        <v>80</v>
      </c>
      <c r="S7" s="546"/>
      <c r="T7" s="548" t="str">
        <f>IF('Citrix or Terminal Server Info'!$H$3="No","Not Needed",IF(S7="","&lt;--Enter Data",IF(S7&lt;R7,"No","Yes")))</f>
        <v>&lt;--Enter Data</v>
      </c>
      <c r="V7" s="358">
        <f>IF(AND(ISBLANK(S6),ISBLANK(S5)),'Citrix or Terminal Server Info'!F21,MIN(ROUNDUP(S6*2,0),S5*'Citrix or Terminal Server Info'!H14))</f>
        <v>24</v>
      </c>
      <c r="Y7" s="358" t="s">
        <v>87</v>
      </c>
      <c r="Z7" s="363" t="s">
        <v>60</v>
      </c>
      <c r="AA7" s="364" t="s">
        <v>511</v>
      </c>
      <c r="AC7" s="359" t="s">
        <v>956</v>
      </c>
      <c r="AD7" s="520" t="str">
        <f>IF(AD3&lt;=230,"No Additonal GUI server Needed",IF(AND(AD3&gt;230,AD3&lt;=400),2,IF(AND(AD3&gt;400,AD3&lt;=600),3,IF(AND(AD3&gt;600,AD3&lt;=800),4,IF(AND(AD3&gt;800,AD3&lt;=1000),5,IF(AND(AD3&gt;1000,AD3&lt;=1500),8,IF(AND(AD3&gt;1500,AD3&lt;=2000),10)))))))</f>
        <v>No Additonal GUI server Needed</v>
      </c>
    </row>
    <row r="8" spans="1:48" ht="27" customHeight="1" thickBot="1">
      <c r="A8" s="584" t="s">
        <v>34</v>
      </c>
      <c r="B8" s="626">
        <f>ROUNDUP('Database Server Info'!K14,0)</f>
        <v>0</v>
      </c>
      <c r="C8" s="627"/>
      <c r="D8" s="628" t="str">
        <f>IF(C8="","&lt;--Enter Data",IF(C8&gt;=B8,"Yes","No"))</f>
        <v>&lt;--Enter Data</v>
      </c>
      <c r="E8" s="522"/>
      <c r="F8" s="522" t="s">
        <v>34</v>
      </c>
      <c r="G8" s="522">
        <f>IF(B29&gt;1,"N/A",IF('Database Server Info'!Q4&lt;50,B8+B13,""))</f>
        <v>122.25</v>
      </c>
      <c r="H8" s="522"/>
      <c r="I8" s="522" t="str">
        <f>IF(G8="","Not Applicable",IF(H8="","&lt;--Enter Data",IF(H8&gt;=G8,"Yes","No")))</f>
        <v>&lt;--Enter Data</v>
      </c>
      <c r="J8" s="1384" t="s">
        <v>1002</v>
      </c>
      <c r="K8" s="1385"/>
      <c r="L8" s="1385"/>
      <c r="M8" s="1385"/>
      <c r="N8" s="1385"/>
      <c r="O8" s="1386"/>
      <c r="P8" s="522"/>
      <c r="Q8" s="553" t="s">
        <v>884</v>
      </c>
      <c r="R8" s="549">
        <f>'Citrix or Terminal Server Info'!F21</f>
        <v>24</v>
      </c>
      <c r="S8" s="550"/>
      <c r="T8" s="554" t="str">
        <f>IF('Citrix or Terminal Server Info'!$H$3="No","Not Needed",IF(S8="","&lt;--Enter Data",IF(S8&gt;R8,"No","Yes")))</f>
        <v>&lt;--Enter Data</v>
      </c>
      <c r="Z8" s="366" t="s">
        <v>51</v>
      </c>
      <c r="AA8" s="367"/>
      <c r="AC8" s="1357" t="s">
        <v>957</v>
      </c>
      <c r="AD8" s="1358"/>
      <c r="AE8" s="601" t="s">
        <v>976</v>
      </c>
      <c r="AF8" s="602"/>
    </row>
    <row r="9" spans="1:48" ht="17.25" thickBot="1">
      <c r="A9" s="629"/>
      <c r="E9" s="522"/>
      <c r="F9" s="522"/>
      <c r="G9" s="522"/>
      <c r="H9" s="522"/>
      <c r="I9" s="522"/>
      <c r="J9" s="1387"/>
      <c r="K9" s="1388"/>
      <c r="L9" s="1388"/>
      <c r="M9" s="1388"/>
      <c r="N9" s="1388"/>
      <c r="O9" s="1389"/>
      <c r="P9" s="522"/>
      <c r="Q9" s="622"/>
      <c r="R9" s="622"/>
      <c r="S9" s="550"/>
      <c r="T9" s="554" t="str">
        <f>IF('Citrix or Terminal Server Info'!$H$3="No","Not Needed",IF(S9="","&lt;--Enter Data",IF(S9&lt;#REF!,"No","Yes")))</f>
        <v>&lt;--Enter Data</v>
      </c>
      <c r="V9" s="371" t="s">
        <v>767</v>
      </c>
      <c r="W9" s="364" t="s">
        <v>707</v>
      </c>
      <c r="Z9" s="369" t="s">
        <v>0</v>
      </c>
      <c r="AA9" s="370"/>
      <c r="AC9" s="359" t="s">
        <v>858</v>
      </c>
      <c r="AD9" s="600" t="str">
        <f>IF(AD3&lt;=100,"Separate Interop Server Not Recommended",IF(AND(AD3&gt;100,AD3&lt;=200),4,IF(AND(AD3&gt;200,AD3&lt;=300),6,IF(AND(AD3&gt;300,AD3&lt;=500),8,IF(AND(AD3&gt;500,AD3&lt;=750),8,IF(AND(AD3&gt;750,AD3&lt;=1000),10,IF(AND(AD3&gt;1000,AD3&lt;=1500),12,IF(AND(AD3&gt;1500,AD3&lt;=2000),14))))))))</f>
        <v>Separate Interop Server Not Recommended</v>
      </c>
      <c r="AE9" s="450" t="s">
        <v>977</v>
      </c>
      <c r="AF9" s="604" t="str">
        <f>IF(AD3&lt;=200,"Load Balancer Not Recommended",IF(AND(AD3&gt;200,AD3&lt;=600),4,IF(AND(AD3&gt;600,AD3&lt;=1000),8,IF(AND(AD3&gt;1000,AD3&lt;=2000),10))))</f>
        <v>Load Balancer Not Recommended</v>
      </c>
      <c r="AG9" s="368"/>
    </row>
    <row r="10" spans="1:48" ht="48.75" customHeight="1" thickBot="1">
      <c r="A10" s="589" t="str">
        <f>IF(M18="Yes","Jboss / GUI Application Server","Jboss Application Server")</f>
        <v>Jboss / GUI Application Server</v>
      </c>
      <c r="B10" s="590" t="str">
        <f>IF(M18="Yes","UI Spec","GE Spec")</f>
        <v>UI Spec</v>
      </c>
      <c r="C10" s="591"/>
      <c r="D10" s="592" t="str">
        <f>D5</f>
        <v>In Spec?</v>
      </c>
      <c r="E10" s="522"/>
      <c r="F10" s="522" t="s">
        <v>126</v>
      </c>
      <c r="G10" s="522" t="str">
        <f>G5</f>
        <v>GE Spec</v>
      </c>
      <c r="H10" s="522">
        <f>H5</f>
        <v>0</v>
      </c>
      <c r="I10" s="522" t="str">
        <f>I5</f>
        <v>In Spec?</v>
      </c>
      <c r="J10" s="522"/>
      <c r="K10" s="522"/>
      <c r="L10" s="522"/>
      <c r="M10" s="522"/>
      <c r="N10" s="522"/>
      <c r="O10" s="522"/>
      <c r="P10" s="622"/>
      <c r="U10" s="372" t="s">
        <v>768</v>
      </c>
      <c r="V10" s="362">
        <f>IF(AE45&lt;26,2,IF(AE45&lt;201,4,IF(AE45&lt;401,6,IF(AE45&lt;601,8,IF(AE45&lt;801,10,IF(AE45&lt;1001,12,IF(AE45&lt;1501,14,IF(AE45&lt;2001,16,(IF(AE45&lt;3001,24,32))))))))))</f>
        <v>2</v>
      </c>
      <c r="W10" s="370">
        <f>'Database Server Info'!X9</f>
        <v>0</v>
      </c>
      <c r="Y10" s="358" t="s">
        <v>491</v>
      </c>
      <c r="Z10" s="358" t="s">
        <v>0</v>
      </c>
      <c r="AC10" s="359" t="s">
        <v>958</v>
      </c>
      <c r="AD10" s="600" t="str">
        <f>IF(AD3&lt;=100,"Separate Interop Server Not Recommended",IF(AND(AD3&gt;100,AD3&lt;=200),13,IF(AND(AD3&gt;200,AD3&lt;=300),13,IF(AND(AD3&gt;300,AD3&lt;=500),16,IF(AND(AD3&gt;500,AD3&lt;=750),16,IF(AND(AD3&gt;750,AD3&lt;=1000),21,IF(AND(AD3&gt;1000,AD3&lt;=1500),21,IF(AND(AD3&gt;1500,AD3&lt;=2000),24))))))))</f>
        <v>Separate Interop Server Not Recommended</v>
      </c>
      <c r="AE10" s="603" t="s">
        <v>978</v>
      </c>
      <c r="AF10" s="427" t="str">
        <f>IF(AD3&lt;=200,"Load Balancer Not Recommended",IF(AND(AD3&gt;200,AD3&lt;=600),8,IF(AND(AD3&gt;600,AD3&lt;=1000),12,IF(AND(AD3&gt;1000,AD3&lt;=2000),18))))</f>
        <v>Load Balancer Not Recommended</v>
      </c>
    </row>
    <row r="11" spans="1:48" ht="15" customHeight="1" thickBot="1">
      <c r="A11" s="583" t="s">
        <v>32</v>
      </c>
      <c r="B11" s="630">
        <f>AD5</f>
        <v>4</v>
      </c>
      <c r="C11" s="631"/>
      <c r="D11" s="548" t="str">
        <f>IF(C11="","&lt;--Enter Data",IF(C11&gt;=B11,"Yes","No"))</f>
        <v>&lt;--Enter Data</v>
      </c>
      <c r="E11" s="522"/>
      <c r="F11" s="522" t="s">
        <v>35</v>
      </c>
      <c r="G11" s="522">
        <f>'Database Server Info'!$E$29</f>
        <v>0</v>
      </c>
      <c r="H11" s="522"/>
      <c r="I11" s="522"/>
      <c r="J11" s="1351" t="str">
        <f>IF(M18="Yes", "Note: Only 1 Interop server is allowed per DataBase","")</f>
        <v>Note: Only 1 Interop server is allowed per DataBase</v>
      </c>
      <c r="K11" s="1352"/>
      <c r="L11" s="1352"/>
      <c r="M11" s="1352"/>
      <c r="N11" s="1352"/>
      <c r="O11" s="1353"/>
      <c r="P11" s="622"/>
      <c r="Q11" s="622"/>
      <c r="R11" s="622"/>
      <c r="S11" s="522"/>
      <c r="T11" s="523"/>
      <c r="U11" s="373" t="e">
        <f>IF(MAX(B29,'Physical Config Checklist '!B41)&lt;2,IF(AE45&lt;51,2,IF(AE45&lt;501,4,IF(AE45&lt;1001,8,IF(AE45&lt;1501,12,IF(AE45&lt;2001,16,IF(AE45&lt;2501,20,IF(AE45&lt;3001,24,IF(AE45&lt;3501,28,IF(AE45&lt;4001,32,36))))))))),IF(W1&lt;&gt;"Yes",VLOOKUP(MAX(B29,'Physical Config Checklist '!B41),Defaults!D48:F50,2,FALSE),VLOOKUP(MAX(B29,'Physical Config Checklist '!B41),Defaults!D54:F57,2,FALSE)))+W10</f>
        <v>#N/A</v>
      </c>
      <c r="V11" s="362"/>
      <c r="Y11" s="358" t="s">
        <v>87</v>
      </c>
      <c r="Z11" s="371" t="s">
        <v>60</v>
      </c>
      <c r="AA11" s="374" t="s">
        <v>91</v>
      </c>
      <c r="AB11" s="371" t="s">
        <v>60</v>
      </c>
      <c r="AC11" s="375" t="s">
        <v>509</v>
      </c>
      <c r="AD11" s="375"/>
    </row>
    <row r="12" spans="1:48">
      <c r="A12" s="583" t="s">
        <v>33</v>
      </c>
      <c r="B12" s="630">
        <f>AD6</f>
        <v>9</v>
      </c>
      <c r="C12" s="631"/>
      <c r="D12" s="548" t="str">
        <f>IF(C12="","&lt;--Enter Data",IF(C12&gt;=B12,"Yes","No"))</f>
        <v>&lt;--Enter Data</v>
      </c>
      <c r="E12" s="522"/>
      <c r="F12" s="522" t="s">
        <v>36</v>
      </c>
      <c r="G12" s="522">
        <f>'Database Server Info'!$F$29</f>
        <v>0</v>
      </c>
      <c r="H12" s="522" t="str">
        <f>IF(OR('Database Server Info'!$P$84="N/A",'Database Server Info'!$P$112="N/A"),"",SUM('Database Server Info'!$P$84,'Database Server Info'!$P$112))</f>
        <v/>
      </c>
      <c r="I12" s="522" t="str">
        <f>IF(H12="","&lt;--Enter Data",IF(H12&gt;=G12+G11,"Yes","No"))</f>
        <v>&lt;--Enter Data</v>
      </c>
      <c r="J12" s="522"/>
      <c r="K12" s="522"/>
      <c r="L12" s="522"/>
      <c r="M12" s="522"/>
      <c r="N12" s="522"/>
      <c r="O12" s="523"/>
      <c r="P12" s="18" t="s">
        <v>496</v>
      </c>
      <c r="Q12" s="522"/>
      <c r="R12" s="522"/>
      <c r="S12" s="522"/>
      <c r="T12" s="523"/>
      <c r="U12" s="373" t="e">
        <f>IF(MAX(B29,'Physical Config Checklist '!B41)&lt;2,IF(AA20&lt;201,8,IF(AA20&lt;501,12,IF(AA20&lt;1001,15,IF(AA20&lt;2001,20,30)))),IF(W1&lt;&gt;"Yes",VLOOKUP(MAX(B29,'Physical Config Checklist '!B41),Defaults!D48:F50,3,FALSE),VLOOKUP(MAX(B29,'Physical Config Checklist '!B41),Defaults!D54:F57,3,FALSE)))</f>
        <v>#N/A</v>
      </c>
      <c r="V12" s="365">
        <f>CEILING((MAX(8,IF(B45="n/a",CEILING((V23+B44)/1024,8),CEILING((V23+B44+B45)/1024,8)))+0.75)+8+IF(AA20&lt;1001,4,IF(AA20&lt;2001,8,IF(AA20&lt;3001,12,IF(AA20&lt;4001,16,20)))),2)</f>
        <v>22</v>
      </c>
      <c r="Z12" s="362" t="s">
        <v>99</v>
      </c>
      <c r="AB12" s="362" t="s">
        <v>472</v>
      </c>
    </row>
    <row r="13" spans="1:48" ht="18.75" customHeight="1" thickBot="1">
      <c r="A13" s="584" t="s">
        <v>829</v>
      </c>
      <c r="B13" s="632">
        <f>100+20+0.25*B12</f>
        <v>122.25</v>
      </c>
      <c r="C13" s="633"/>
      <c r="D13" s="576" t="str">
        <f>IF(C13="","&lt;--Enter Data",IF(C13&gt;=B13,"Yes","No"))</f>
        <v>&lt;--Enter Data</v>
      </c>
      <c r="E13" s="522"/>
      <c r="F13" s="522"/>
      <c r="G13" s="522"/>
      <c r="H13" s="522"/>
      <c r="I13" s="522"/>
      <c r="J13" s="522"/>
      <c r="K13" s="522"/>
      <c r="L13" s="522"/>
      <c r="M13" s="522"/>
      <c r="N13" s="522"/>
      <c r="O13" s="523"/>
      <c r="P13" s="559"/>
      <c r="Q13" s="559"/>
      <c r="R13" s="559"/>
      <c r="S13" s="559"/>
      <c r="T13" s="559"/>
      <c r="U13" s="376" t="e">
        <f>36+U12</f>
        <v>#N/A</v>
      </c>
      <c r="V13" s="358">
        <f>CEILING((MAX(8,IF(B45="n/a",CEILING((B44)/1024,4),CEILING((B44+B45)/1024,4)))+0.75)+8+IF(AA20&lt;1001,4,IF(AA20&lt;2001,8,IF(AA20&lt;3001,12,IF(AA20&lt;4001,16,20)))),2)</f>
        <v>22</v>
      </c>
      <c r="Z13" s="362" t="s">
        <v>140</v>
      </c>
      <c r="AB13" s="362" t="s">
        <v>473</v>
      </c>
    </row>
    <row r="14" spans="1:48" ht="15.75" customHeight="1" thickBot="1">
      <c r="A14" s="606"/>
      <c r="B14" s="559"/>
      <c r="C14" s="559"/>
      <c r="D14" s="559"/>
      <c r="N14" s="612"/>
      <c r="O14" s="634"/>
      <c r="P14" s="562"/>
      <c r="Q14" s="562"/>
      <c r="R14" s="562"/>
      <c r="S14" s="562"/>
      <c r="T14" s="562"/>
      <c r="U14" s="585"/>
      <c r="Z14" s="362"/>
      <c r="AB14" s="362"/>
    </row>
    <row r="15" spans="1:48" ht="34.15" thickBot="1">
      <c r="A15" s="636" t="s">
        <v>983</v>
      </c>
      <c r="B15" s="1344"/>
      <c r="C15" s="1345"/>
      <c r="D15" s="1346"/>
      <c r="J15" s="1354" t="str">
        <f>IF(AD3&gt;100,"We require separate GUI and Interop servers for optimal performance if concurrent users &gt;100. Please refer to the recommendations"," " )</f>
        <v xml:space="preserve"> </v>
      </c>
      <c r="K15" s="1355"/>
      <c r="L15" s="1355"/>
      <c r="M15" s="1355"/>
      <c r="N15" s="1355"/>
      <c r="O15" s="1356"/>
      <c r="P15" s="562"/>
      <c r="Q15" s="562"/>
      <c r="R15" s="562"/>
      <c r="S15" s="562"/>
      <c r="T15" s="562"/>
      <c r="Z15" s="362" t="s">
        <v>464</v>
      </c>
      <c r="AB15" s="362" t="s">
        <v>474</v>
      </c>
    </row>
    <row r="16" spans="1:48" ht="30.75" customHeight="1" thickBot="1">
      <c r="A16" s="1347"/>
      <c r="B16" s="1348"/>
      <c r="C16" s="1348"/>
      <c r="D16" s="1348"/>
      <c r="J16" s="1354" t="str">
        <f>IF(AD3&gt;200,"We require multiple load-balanced GUI Servers if concurrent users &gt;200. 1 load balanced GUI server is required for every 200 concurrent users"," " )</f>
        <v xml:space="preserve"> </v>
      </c>
      <c r="K16" s="1355"/>
      <c r="L16" s="1355"/>
      <c r="M16" s="1355"/>
      <c r="N16" s="1355"/>
      <c r="O16" s="1356"/>
      <c r="P16" s="562"/>
      <c r="Q16" s="562"/>
      <c r="R16" s="562"/>
      <c r="S16" s="562"/>
      <c r="T16" s="562"/>
      <c r="Z16" s="362"/>
      <c r="AB16" s="362"/>
    </row>
    <row r="17" spans="1:31" ht="14.25" hidden="1" customHeight="1" thickBot="1">
      <c r="A17" s="1349"/>
      <c r="B17" s="1350"/>
      <c r="C17" s="1350"/>
      <c r="D17" s="1350"/>
      <c r="E17" s="559"/>
      <c r="F17" s="559"/>
      <c r="G17" s="559"/>
      <c r="H17" s="559"/>
      <c r="I17" s="559" t="s">
        <v>60</v>
      </c>
      <c r="J17" s="559"/>
      <c r="K17" s="559"/>
      <c r="L17" s="559"/>
      <c r="M17" s="559"/>
      <c r="N17" s="559"/>
      <c r="O17" s="605"/>
      <c r="P17" s="562"/>
      <c r="Q17" s="562"/>
      <c r="R17" s="562"/>
      <c r="S17" s="562"/>
      <c r="T17" s="562"/>
      <c r="Z17" s="362"/>
      <c r="AB17" s="362"/>
    </row>
    <row r="18" spans="1:31" ht="44.25" customHeight="1" thickBot="1">
      <c r="A18" s="589"/>
      <c r="B18" s="589"/>
      <c r="C18" s="589"/>
      <c r="D18" s="594"/>
      <c r="G18" s="614"/>
      <c r="H18" s="614"/>
      <c r="I18" s="615"/>
      <c r="J18" s="1380" t="s">
        <v>765</v>
      </c>
      <c r="K18" s="1381"/>
      <c r="L18" s="1382"/>
      <c r="M18" s="593" t="s">
        <v>51</v>
      </c>
      <c r="N18" s="621"/>
      <c r="O18" s="635"/>
      <c r="P18" s="562"/>
      <c r="Q18" s="562"/>
      <c r="R18" s="562"/>
      <c r="S18" s="562"/>
      <c r="T18" s="562"/>
      <c r="V18" s="377" t="s">
        <v>763</v>
      </c>
      <c r="W18" s="378"/>
      <c r="Z18" s="362" t="s">
        <v>98</v>
      </c>
      <c r="AB18" s="365" t="s">
        <v>510</v>
      </c>
    </row>
    <row r="19" spans="1:31" ht="16.149999999999999" thickBot="1">
      <c r="A19" s="583"/>
      <c r="B19" s="630"/>
      <c r="C19" s="631"/>
      <c r="D19" s="548"/>
      <c r="I19" s="339"/>
      <c r="J19" s="1380" t="str">
        <f>IF(M18="Yes","Load Balance Jboss UI Servers?","")</f>
        <v>Load Balance Jboss UI Servers?</v>
      </c>
      <c r="K19" s="1381"/>
      <c r="L19" s="1382"/>
      <c r="M19" s="593" t="s">
        <v>51</v>
      </c>
      <c r="O19" s="339"/>
      <c r="P19" s="562"/>
      <c r="Q19" s="562"/>
      <c r="R19" s="562"/>
      <c r="S19" s="562"/>
      <c r="T19" s="562"/>
      <c r="V19" s="371" t="s">
        <v>60</v>
      </c>
      <c r="Z19" s="365" t="s">
        <v>100</v>
      </c>
      <c r="AA19" s="364" t="s">
        <v>514</v>
      </c>
      <c r="AB19" s="379"/>
      <c r="AC19" s="380" t="s">
        <v>570</v>
      </c>
      <c r="AD19" s="380"/>
      <c r="AE19" s="381"/>
    </row>
    <row r="20" spans="1:31" ht="15.75" customHeight="1">
      <c r="A20" s="583" t="s">
        <v>33</v>
      </c>
      <c r="B20" s="630" t="str">
        <f>AD10</f>
        <v>Separate Interop Server Not Recommended</v>
      </c>
      <c r="C20" s="631"/>
      <c r="D20" s="548" t="str">
        <f>IF($M$18="No","N/A",IF(C20="","&lt;--Enter Data",IF(C20&gt;=B20,"Yes","No")))</f>
        <v>&lt;--Enter Data</v>
      </c>
      <c r="G20" s="616"/>
      <c r="H20" s="616"/>
      <c r="I20" s="617"/>
      <c r="J20" s="621"/>
      <c r="K20" s="621"/>
      <c r="L20" s="621"/>
      <c r="M20" s="621"/>
      <c r="N20" s="621"/>
      <c r="O20" s="635"/>
      <c r="P20" s="562"/>
      <c r="Q20" s="562"/>
      <c r="R20" s="562"/>
      <c r="S20" s="562"/>
      <c r="T20" s="562"/>
      <c r="U20" s="372"/>
      <c r="V20" s="362" t="s">
        <v>51</v>
      </c>
      <c r="AA20" s="382">
        <f>'Database Server Info'!Q4</f>
        <v>0</v>
      </c>
      <c r="AB20" s="383" t="s">
        <v>512</v>
      </c>
      <c r="AC20" s="384" t="s">
        <v>513</v>
      </c>
      <c r="AD20" s="385" t="s">
        <v>512</v>
      </c>
      <c r="AE20" s="384" t="s">
        <v>515</v>
      </c>
    </row>
    <row r="21" spans="1:31" ht="15.75" customHeight="1" thickBot="1">
      <c r="A21" s="584" t="s">
        <v>34</v>
      </c>
      <c r="B21" s="632" t="e">
        <f>ROUNDUP(100+20+0.25*B20,0)</f>
        <v>#VALUE!</v>
      </c>
      <c r="C21" s="633"/>
      <c r="D21" s="576" t="str">
        <f>IF($M$18="No","N/A",IF(C21="","&lt;--Enter Data",IF(C21&gt;=B21,"Yes","No")))</f>
        <v>&lt;--Enter Data</v>
      </c>
      <c r="E21" s="618"/>
      <c r="G21" s="619"/>
      <c r="H21" s="619"/>
      <c r="I21" s="620"/>
      <c r="J21" s="621"/>
      <c r="K21" s="621"/>
      <c r="L21" s="621"/>
      <c r="M21" s="621"/>
      <c r="N21" s="621"/>
      <c r="O21" s="635"/>
      <c r="P21" s="562"/>
      <c r="Q21" s="562"/>
      <c r="R21" s="562"/>
      <c r="S21" s="562"/>
      <c r="T21" s="562"/>
      <c r="U21" s="386"/>
      <c r="V21" s="365" t="s">
        <v>0</v>
      </c>
      <c r="AB21" s="379"/>
      <c r="AC21" s="387"/>
      <c r="AD21" s="379">
        <v>501</v>
      </c>
      <c r="AE21" s="387">
        <v>8</v>
      </c>
    </row>
    <row r="22" spans="1:31" ht="14.65" thickBot="1">
      <c r="A22" s="581"/>
      <c r="B22" s="562"/>
      <c r="C22" s="562"/>
      <c r="D22" s="562"/>
      <c r="E22" s="522"/>
      <c r="F22" s="562"/>
      <c r="G22" s="562"/>
      <c r="H22" s="562"/>
      <c r="I22" s="607"/>
      <c r="N22" s="562"/>
      <c r="O22" s="607"/>
      <c r="P22" s="562"/>
      <c r="Q22" s="562"/>
      <c r="R22" s="562"/>
      <c r="S22" s="562"/>
      <c r="T22" s="562"/>
      <c r="U22" s="373"/>
      <c r="AB22" s="366"/>
      <c r="AC22" s="367"/>
      <c r="AD22" s="366"/>
      <c r="AE22" s="367"/>
    </row>
    <row r="23" spans="1:31" ht="51" thickBot="1">
      <c r="A23" s="589" t="s">
        <v>896</v>
      </c>
      <c r="B23" s="589" t="s">
        <v>897</v>
      </c>
      <c r="C23" s="589">
        <f>C18</f>
        <v>0</v>
      </c>
      <c r="D23" s="594">
        <f>D18</f>
        <v>0</v>
      </c>
      <c r="E23" s="522"/>
      <c r="O23" s="339"/>
      <c r="P23" s="562"/>
      <c r="U23" s="386"/>
      <c r="V23" s="378">
        <f>AB76</f>
        <v>4096</v>
      </c>
      <c r="Y23" s="358" t="s">
        <v>113</v>
      </c>
      <c r="Z23" s="371" t="s">
        <v>60</v>
      </c>
      <c r="AA23" s="375" t="s">
        <v>117</v>
      </c>
      <c r="AB23" s="366"/>
      <c r="AC23" s="367"/>
      <c r="AD23" s="366">
        <v>1001</v>
      </c>
      <c r="AE23" s="367">
        <v>16</v>
      </c>
    </row>
    <row r="24" spans="1:31" ht="14.65" thickBot="1">
      <c r="A24" s="583" t="s">
        <v>32</v>
      </c>
      <c r="B24" s="630" t="str">
        <f>AF9</f>
        <v>Load Balancer Not Recommended</v>
      </c>
      <c r="C24" s="631"/>
      <c r="D24" s="548" t="str">
        <f>IF($M$18="No","N/A",IF(C24="","&lt;--Enter Data",IF(C24&gt;=B24,"Yes","No")))</f>
        <v>&lt;--Enter Data</v>
      </c>
      <c r="E24" s="522"/>
      <c r="O24" s="339"/>
      <c r="P24" s="562"/>
      <c r="U24" s="376"/>
      <c r="Z24" s="362" t="s">
        <v>114</v>
      </c>
      <c r="AB24" s="388"/>
      <c r="AC24" s="389"/>
      <c r="AD24" s="366">
        <v>2001</v>
      </c>
      <c r="AE24" s="367"/>
    </row>
    <row r="25" spans="1:31" ht="14.65" thickTop="1">
      <c r="A25" s="583" t="s">
        <v>33</v>
      </c>
      <c r="B25" s="630" t="str">
        <f>AF10</f>
        <v>Load Balancer Not Recommended</v>
      </c>
      <c r="C25" s="631"/>
      <c r="D25" s="548" t="str">
        <f>IF($M$18="No","N/A",IF(C25="","&lt;--Enter Data",IF(C25&gt;=B25,"Yes","No")))</f>
        <v>&lt;--Enter Data</v>
      </c>
      <c r="E25" s="562"/>
      <c r="F25" s="562"/>
      <c r="G25" s="562"/>
      <c r="H25" s="562"/>
      <c r="I25" s="607"/>
      <c r="J25" s="562"/>
      <c r="K25" s="562"/>
      <c r="L25" s="562"/>
      <c r="M25" s="562"/>
      <c r="N25" s="562"/>
      <c r="O25" s="607"/>
      <c r="P25" s="562"/>
      <c r="Q25" s="562"/>
      <c r="R25" s="562"/>
      <c r="S25" s="562"/>
      <c r="T25" s="562"/>
      <c r="U25" s="588"/>
      <c r="Z25" s="362"/>
      <c r="AB25" s="388"/>
      <c r="AC25" s="389"/>
      <c r="AD25" s="366"/>
      <c r="AE25" s="367"/>
    </row>
    <row r="26" spans="1:31" ht="14.65" thickBot="1">
      <c r="A26" s="584" t="s">
        <v>34</v>
      </c>
      <c r="B26" s="632" t="e">
        <f>50+10+B25</f>
        <v>#VALUE!</v>
      </c>
      <c r="C26" s="633"/>
      <c r="D26" s="576" t="str">
        <f>IF($M$18="No","N/A",IF(C26="","&lt;--Enter Data",IF(C26&gt;=B26,"Yes","No")))</f>
        <v>&lt;--Enter Data</v>
      </c>
      <c r="E26" s="608"/>
      <c r="F26" s="608"/>
      <c r="G26" s="608"/>
      <c r="H26" s="608"/>
      <c r="I26" s="609"/>
      <c r="J26" s="608"/>
      <c r="K26" s="608"/>
      <c r="L26" s="608"/>
      <c r="M26" s="608"/>
      <c r="N26" s="608"/>
      <c r="O26" s="609"/>
      <c r="P26" s="562"/>
      <c r="Q26" s="562"/>
      <c r="R26" s="562"/>
      <c r="S26" s="562"/>
      <c r="T26" s="562"/>
      <c r="U26" s="588"/>
      <c r="Z26" s="362"/>
      <c r="AB26" s="388"/>
      <c r="AC26" s="389"/>
      <c r="AD26" s="366"/>
      <c r="AE26" s="367"/>
    </row>
    <row r="27" spans="1:31" ht="24.75" customHeight="1" thickBot="1">
      <c r="A27" s="1312" t="s">
        <v>982</v>
      </c>
      <c r="B27" s="1313"/>
      <c r="C27" s="1313"/>
      <c r="D27" s="1313"/>
      <c r="E27" s="1313"/>
      <c r="F27" s="1313"/>
      <c r="G27" s="1313"/>
      <c r="H27" s="1313"/>
      <c r="I27" s="1313"/>
      <c r="J27" s="1313"/>
      <c r="K27" s="1313"/>
      <c r="L27" s="1313"/>
      <c r="M27" s="1313"/>
      <c r="N27" s="1313"/>
      <c r="O27" s="1314"/>
      <c r="P27" s="562"/>
      <c r="Q27" s="562"/>
      <c r="R27" s="562"/>
      <c r="S27" s="562"/>
      <c r="T27" s="562"/>
      <c r="U27" s="588"/>
      <c r="Z27" s="362"/>
      <c r="AB27" s="388"/>
      <c r="AC27" s="389"/>
      <c r="AD27" s="366"/>
      <c r="AE27" s="367"/>
    </row>
    <row r="28" spans="1:31">
      <c r="A28" s="562"/>
      <c r="B28" s="562"/>
      <c r="C28" s="562"/>
      <c r="D28" s="562"/>
      <c r="E28" s="562"/>
      <c r="F28" s="562"/>
      <c r="G28" s="562"/>
      <c r="H28" s="562"/>
      <c r="I28" s="562"/>
      <c r="J28" s="562"/>
      <c r="K28" s="562"/>
      <c r="L28" s="562"/>
      <c r="M28" s="562"/>
      <c r="N28" s="562"/>
      <c r="O28" s="562"/>
      <c r="P28" s="562"/>
      <c r="Q28" s="562"/>
      <c r="R28" s="562"/>
      <c r="S28" s="562"/>
      <c r="T28" s="562"/>
      <c r="U28" s="588"/>
      <c r="Z28" s="362"/>
      <c r="AB28" s="388"/>
      <c r="AC28" s="389"/>
      <c r="AD28" s="366"/>
      <c r="AE28" s="367"/>
    </row>
    <row r="29" spans="1:31" ht="28.5">
      <c r="A29" s="586" t="s">
        <v>648</v>
      </c>
      <c r="B29" s="561">
        <v>1</v>
      </c>
      <c r="C29" s="562"/>
      <c r="P29" s="562"/>
      <c r="Q29" s="562"/>
      <c r="R29" s="562"/>
      <c r="S29" s="562"/>
      <c r="T29" s="562"/>
      <c r="U29" s="588"/>
      <c r="Z29" s="362"/>
      <c r="AB29" s="388"/>
      <c r="AC29" s="389"/>
      <c r="AD29" s="366"/>
      <c r="AE29" s="367"/>
    </row>
    <row r="30" spans="1:31" ht="28.9" thickBot="1">
      <c r="A30" s="587" t="s">
        <v>644</v>
      </c>
      <c r="B30" s="558">
        <f>AG44</f>
        <v>0</v>
      </c>
      <c r="C30" s="562"/>
      <c r="D30" s="1376"/>
      <c r="E30" s="1376"/>
      <c r="F30" s="1376"/>
      <c r="G30" s="1376"/>
      <c r="H30" s="1376"/>
      <c r="I30" s="1376"/>
      <c r="J30" s="611"/>
      <c r="K30" s="611"/>
      <c r="L30" s="611"/>
      <c r="M30" s="611"/>
      <c r="N30" s="611"/>
      <c r="O30" s="611"/>
      <c r="P30" s="562"/>
      <c r="Q30" s="562"/>
      <c r="R30" s="562"/>
      <c r="S30" s="562"/>
      <c r="T30" s="562"/>
      <c r="U30" s="588"/>
      <c r="Z30" s="362"/>
      <c r="AB30" s="388"/>
      <c r="AC30" s="389"/>
      <c r="AD30" s="366"/>
      <c r="AE30" s="367"/>
    </row>
    <row r="31" spans="1:31" ht="14.65" thickTop="1">
      <c r="A31" s="562"/>
      <c r="B31" s="562"/>
      <c r="C31" s="562"/>
      <c r="D31" s="562"/>
      <c r="E31" s="562"/>
      <c r="F31" s="562"/>
      <c r="G31" s="562"/>
      <c r="H31" s="562"/>
      <c r="I31" s="562"/>
      <c r="J31" s="562"/>
      <c r="K31" s="562"/>
      <c r="L31" s="562"/>
      <c r="M31" s="562"/>
      <c r="N31" s="562"/>
      <c r="O31" s="562"/>
      <c r="P31" s="562"/>
      <c r="Q31" s="562"/>
      <c r="R31" s="562"/>
      <c r="S31" s="562"/>
      <c r="T31" s="562"/>
      <c r="U31" s="588"/>
      <c r="Z31" s="362"/>
      <c r="AB31" s="388"/>
      <c r="AC31" s="389"/>
      <c r="AD31" s="366"/>
      <c r="AE31" s="367"/>
    </row>
    <row r="32" spans="1:31">
      <c r="A32" s="562"/>
      <c r="B32" s="562"/>
      <c r="C32" s="562"/>
      <c r="D32" s="562"/>
      <c r="E32" s="562"/>
      <c r="F32" s="562"/>
      <c r="G32" s="562"/>
      <c r="H32" s="562"/>
      <c r="I32" s="562" t="s">
        <v>60</v>
      </c>
      <c r="J32" s="562"/>
      <c r="K32" s="562"/>
      <c r="L32" s="562"/>
      <c r="M32" s="562"/>
      <c r="N32" s="562"/>
      <c r="O32" s="562"/>
      <c r="P32" s="562"/>
      <c r="Q32" s="562"/>
      <c r="R32" s="562"/>
      <c r="S32" s="562"/>
      <c r="T32" s="562"/>
      <c r="U32" s="588"/>
      <c r="Z32" s="362"/>
      <c r="AB32" s="388"/>
      <c r="AC32" s="389"/>
      <c r="AD32" s="366"/>
      <c r="AE32" s="367"/>
    </row>
    <row r="33" spans="1:82">
      <c r="A33" s="562"/>
      <c r="B33" s="562"/>
      <c r="C33" s="562"/>
      <c r="D33" s="562"/>
      <c r="E33" s="562"/>
      <c r="F33" s="562"/>
      <c r="G33" s="562"/>
      <c r="H33" s="562"/>
      <c r="I33" s="562" t="s">
        <v>60</v>
      </c>
      <c r="J33" s="562"/>
      <c r="K33" s="562"/>
      <c r="L33" s="562"/>
      <c r="M33" s="562"/>
      <c r="N33" s="562"/>
      <c r="O33" s="562"/>
      <c r="P33" s="562"/>
      <c r="Q33" s="562"/>
      <c r="R33" s="562"/>
      <c r="S33" s="562"/>
      <c r="T33" s="562"/>
      <c r="U33" s="588"/>
      <c r="Z33" s="362"/>
      <c r="AB33" s="388"/>
      <c r="AC33" s="389"/>
      <c r="AD33" s="366"/>
      <c r="AE33" s="367"/>
    </row>
    <row r="34" spans="1:82">
      <c r="A34" s="562"/>
      <c r="B34" s="562"/>
      <c r="C34" s="562"/>
      <c r="D34" s="562"/>
      <c r="E34" s="562"/>
      <c r="F34" s="562"/>
      <c r="G34" s="562"/>
      <c r="H34" s="562"/>
      <c r="I34" s="562"/>
      <c r="J34" s="562"/>
      <c r="K34" s="562"/>
      <c r="L34" s="562"/>
      <c r="M34" s="562"/>
      <c r="N34" s="562"/>
      <c r="O34" s="562"/>
      <c r="P34" s="562"/>
      <c r="Q34" s="562"/>
      <c r="R34" s="562"/>
      <c r="S34" s="562"/>
      <c r="T34" s="562"/>
      <c r="U34" s="588"/>
      <c r="Z34" s="362"/>
      <c r="AB34" s="388"/>
      <c r="AC34" s="389"/>
      <c r="AD34" s="366"/>
      <c r="AE34" s="367"/>
    </row>
    <row r="35" spans="1:82">
      <c r="A35" s="562"/>
      <c r="B35" s="562"/>
      <c r="C35" s="562"/>
      <c r="D35" s="562"/>
      <c r="E35" s="562"/>
      <c r="F35" s="562"/>
      <c r="G35" s="562"/>
      <c r="H35" s="562"/>
      <c r="I35" s="562"/>
      <c r="J35" s="562"/>
      <c r="K35" s="562"/>
      <c r="L35" s="562"/>
      <c r="M35" s="562"/>
      <c r="N35" s="562"/>
      <c r="O35" s="562"/>
      <c r="P35" s="562"/>
      <c r="Q35" s="562"/>
      <c r="R35" s="562"/>
      <c r="S35" s="562"/>
      <c r="T35" s="562"/>
      <c r="U35" s="588"/>
      <c r="Z35" s="362"/>
      <c r="AB35" s="388"/>
      <c r="AC35" s="389"/>
      <c r="AD35" s="366"/>
      <c r="AE35" s="367"/>
    </row>
    <row r="36" spans="1:82">
      <c r="A36" s="562"/>
      <c r="B36" s="562"/>
      <c r="C36" s="562"/>
      <c r="D36" s="562"/>
      <c r="E36" s="562"/>
      <c r="F36" s="562"/>
      <c r="G36" s="562"/>
      <c r="H36" s="562"/>
      <c r="I36" s="562"/>
      <c r="J36" s="562"/>
      <c r="K36" s="562"/>
      <c r="L36" s="562"/>
      <c r="M36" s="562"/>
      <c r="N36" s="562"/>
      <c r="O36" s="562"/>
      <c r="P36" s="562"/>
      <c r="Q36" s="562"/>
      <c r="R36" s="562"/>
      <c r="S36" s="562"/>
      <c r="T36" s="562"/>
      <c r="U36" s="588"/>
      <c r="Z36" s="362"/>
      <c r="AB36" s="388"/>
      <c r="AC36" s="389"/>
      <c r="AD36" s="366"/>
      <c r="AE36" s="367"/>
    </row>
    <row r="37" spans="1:82">
      <c r="A37" s="562"/>
      <c r="B37" s="562"/>
      <c r="C37" s="562"/>
      <c r="D37" s="562"/>
      <c r="E37" s="562"/>
      <c r="F37" s="562"/>
      <c r="G37" s="562"/>
      <c r="H37" s="562"/>
      <c r="I37" s="562"/>
      <c r="J37" s="562"/>
      <c r="K37" s="562"/>
      <c r="L37" s="562"/>
      <c r="M37" s="562"/>
      <c r="N37" s="562"/>
      <c r="O37" s="562"/>
      <c r="P37" s="562"/>
      <c r="Q37" s="562"/>
      <c r="R37" s="562"/>
      <c r="S37" s="562"/>
      <c r="T37" s="562"/>
      <c r="U37" s="588"/>
      <c r="Z37" s="362"/>
      <c r="AB37" s="388"/>
      <c r="AC37" s="389"/>
      <c r="AD37" s="366"/>
      <c r="AE37" s="367"/>
    </row>
    <row r="38" spans="1:82">
      <c r="A38" s="562"/>
      <c r="B38" s="562"/>
      <c r="C38" s="562"/>
      <c r="D38" s="562"/>
      <c r="E38" s="562"/>
      <c r="F38" s="562"/>
      <c r="G38" s="562"/>
      <c r="H38" s="562"/>
      <c r="I38" s="562"/>
      <c r="J38" s="562"/>
      <c r="K38" s="562"/>
      <c r="L38" s="562"/>
      <c r="M38" s="562"/>
      <c r="N38" s="562"/>
      <c r="O38" s="562"/>
      <c r="P38" s="562"/>
      <c r="Q38" s="562"/>
      <c r="R38" s="562"/>
      <c r="S38" s="562"/>
      <c r="T38" s="562"/>
      <c r="U38" s="588"/>
      <c r="Z38" s="362"/>
      <c r="AB38" s="388"/>
      <c r="AC38" s="389"/>
      <c r="AD38" s="366"/>
      <c r="AE38" s="367"/>
    </row>
    <row r="39" spans="1:82" ht="14.65" thickBot="1">
      <c r="A39" s="562"/>
      <c r="B39" s="562"/>
      <c r="C39" s="562"/>
      <c r="D39" s="562"/>
      <c r="E39" s="562"/>
      <c r="F39" s="562"/>
      <c r="G39" s="562"/>
      <c r="H39" s="562"/>
      <c r="I39" s="562"/>
      <c r="J39" s="562"/>
      <c r="K39" s="562"/>
      <c r="L39" s="562"/>
      <c r="M39" s="562"/>
      <c r="N39" s="562"/>
      <c r="O39" s="562"/>
      <c r="P39" s="562"/>
      <c r="Q39" s="562"/>
      <c r="R39" s="562"/>
      <c r="S39" s="562"/>
      <c r="T39" s="562"/>
      <c r="U39" s="588"/>
      <c r="Z39" s="362"/>
      <c r="AB39" s="388"/>
      <c r="AC39" s="389"/>
      <c r="AD39" s="366"/>
      <c r="AE39" s="367"/>
    </row>
    <row r="40" spans="1:82" ht="24.75" customHeight="1" thickTop="1" thickBot="1">
      <c r="A40" s="1374"/>
      <c r="B40" s="1375"/>
      <c r="C40" s="1375"/>
      <c r="D40" s="1375"/>
      <c r="E40" s="1375"/>
      <c r="F40" s="1375"/>
      <c r="G40" s="1375"/>
      <c r="H40" s="1375"/>
      <c r="I40" s="1375"/>
      <c r="J40" s="610"/>
      <c r="K40" s="610"/>
      <c r="L40" s="610"/>
      <c r="M40" s="610"/>
      <c r="N40" s="610"/>
      <c r="O40" s="610"/>
      <c r="P40" s="525"/>
      <c r="Q40" s="221"/>
      <c r="R40" s="524"/>
      <c r="S40" s="524"/>
      <c r="T40" s="526"/>
      <c r="U40" s="390"/>
      <c r="V40" s="390"/>
      <c r="W40" s="390"/>
      <c r="X40" s="390"/>
      <c r="Y40" s="391"/>
      <c r="Z40" s="362" t="s">
        <v>115</v>
      </c>
      <c r="AA40" s="358" t="e">
        <f>VLOOKUP(AA20,AB21:AC45,2,TRUE)</f>
        <v>#N/A</v>
      </c>
      <c r="AB40" s="366"/>
      <c r="AC40" s="367"/>
      <c r="AD40" s="366"/>
      <c r="AE40" s="367"/>
      <c r="AF40" s="392" t="s">
        <v>723</v>
      </c>
    </row>
    <row r="41" spans="1:82" ht="43.5" customHeight="1" thickTop="1">
      <c r="A41" s="563"/>
      <c r="B41" s="542"/>
      <c r="C41" s="542"/>
      <c r="D41" s="564"/>
      <c r="E41" s="522"/>
      <c r="F41" s="565"/>
      <c r="G41" s="556"/>
      <c r="H41" s="555"/>
      <c r="I41" s="560" t="s">
        <v>60</v>
      </c>
      <c r="J41" s="560"/>
      <c r="K41" s="560"/>
      <c r="L41" s="560"/>
      <c r="M41" s="560"/>
      <c r="N41" s="560"/>
      <c r="O41" s="560"/>
      <c r="P41" s="522"/>
      <c r="Q41" s="565" t="s">
        <v>911</v>
      </c>
      <c r="R41" s="556">
        <f>B41</f>
        <v>0</v>
      </c>
      <c r="S41" s="555">
        <f>C41</f>
        <v>0</v>
      </c>
      <c r="T41" s="523"/>
      <c r="U41" s="393"/>
      <c r="V41" s="394"/>
      <c r="W41" s="394"/>
      <c r="X41" s="394"/>
      <c r="Y41" s="395"/>
      <c r="Z41" s="362" t="s">
        <v>116</v>
      </c>
      <c r="AB41" s="366"/>
      <c r="AC41" s="367"/>
      <c r="AD41" s="396">
        <v>4001</v>
      </c>
      <c r="AE41" s="370">
        <v>32</v>
      </c>
      <c r="AF41" s="358">
        <f>'Clinical Info'!P5</f>
        <v>1</v>
      </c>
    </row>
    <row r="42" spans="1:82" ht="26.65">
      <c r="A42" s="521"/>
      <c r="B42" s="557"/>
      <c r="C42" s="557"/>
      <c r="D42" s="566"/>
      <c r="E42" s="522"/>
      <c r="F42" s="547"/>
      <c r="G42" s="545"/>
      <c r="H42" s="567"/>
      <c r="I42" s="560" t="s">
        <v>60</v>
      </c>
      <c r="J42" s="560"/>
      <c r="K42" s="560"/>
      <c r="L42" s="560"/>
      <c r="M42" s="560"/>
      <c r="N42" s="560"/>
      <c r="O42" s="560"/>
      <c r="P42" s="522"/>
      <c r="Q42" s="568" t="s">
        <v>586</v>
      </c>
      <c r="R42" s="569" t="s">
        <v>910</v>
      </c>
      <c r="S42" s="569" t="s">
        <v>910</v>
      </c>
      <c r="T42" s="523"/>
      <c r="U42" s="397"/>
      <c r="V42" s="398"/>
      <c r="W42" s="398"/>
      <c r="X42" s="398"/>
      <c r="Y42" s="370"/>
      <c r="Z42" s="365" t="s">
        <v>42</v>
      </c>
      <c r="AB42" s="366"/>
      <c r="AC42" s="367"/>
      <c r="AE42" s="399">
        <f>'Clinical Info'!P3</f>
        <v>1</v>
      </c>
      <c r="AF42" s="392" t="s">
        <v>721</v>
      </c>
    </row>
    <row r="43" spans="1:82" s="5" customFormat="1" ht="27" thickBot="1">
      <c r="A43" s="521"/>
      <c r="B43" s="557"/>
      <c r="C43" s="557"/>
      <c r="D43" s="566"/>
      <c r="E43" s="522"/>
      <c r="F43" s="551"/>
      <c r="G43" s="545"/>
      <c r="H43" s="545"/>
      <c r="I43" s="560"/>
      <c r="J43" s="560"/>
      <c r="K43" s="560"/>
      <c r="L43" s="560"/>
      <c r="M43" s="560"/>
      <c r="N43" s="560"/>
      <c r="O43" s="560"/>
      <c r="P43" s="522"/>
      <c r="Q43" s="552" t="s">
        <v>909</v>
      </c>
      <c r="R43" s="557">
        <v>172800</v>
      </c>
      <c r="S43" s="557">
        <v>172800</v>
      </c>
      <c r="T43" s="523"/>
      <c r="U43" s="358"/>
      <c r="V43" s="358"/>
      <c r="W43" s="358"/>
      <c r="X43" s="358"/>
      <c r="Y43" s="358"/>
      <c r="Z43" s="359" t="s">
        <v>647</v>
      </c>
      <c r="AA43" s="359" t="s">
        <v>646</v>
      </c>
      <c r="AB43" s="366"/>
      <c r="AC43" s="367"/>
      <c r="AD43" s="358"/>
      <c r="AE43" s="359" t="s">
        <v>565</v>
      </c>
      <c r="AF43" s="359"/>
      <c r="AG43" s="371" t="s">
        <v>722</v>
      </c>
      <c r="AH43" s="358"/>
      <c r="AI43" s="358"/>
      <c r="AJ43" s="358"/>
      <c r="AK43" s="358"/>
      <c r="AL43" s="358"/>
      <c r="AY43"/>
      <c r="AZ43"/>
      <c r="BA43"/>
      <c r="BB43"/>
      <c r="BC43"/>
      <c r="BD43"/>
      <c r="BE43"/>
      <c r="BF43"/>
      <c r="BG43"/>
      <c r="BH43"/>
      <c r="BI43"/>
      <c r="BJ43"/>
      <c r="BK43"/>
      <c r="BL43"/>
      <c r="BM43"/>
      <c r="BN43"/>
      <c r="BO43"/>
      <c r="BP43"/>
      <c r="BQ43"/>
      <c r="BR43"/>
      <c r="BS43"/>
      <c r="BT43"/>
      <c r="BU43"/>
      <c r="BV43"/>
      <c r="BW43"/>
      <c r="BX43"/>
      <c r="BY43"/>
      <c r="BZ43"/>
      <c r="CA43"/>
      <c r="CB43"/>
      <c r="CC43"/>
      <c r="CD43"/>
    </row>
    <row r="44" spans="1:82" s="5" customFormat="1" ht="27.4" thickTop="1" thickBot="1">
      <c r="A44" s="521" t="s">
        <v>651</v>
      </c>
      <c r="B44" s="557">
        <f>AC76</f>
        <v>512</v>
      </c>
      <c r="C44" s="557">
        <f>AC76</f>
        <v>512</v>
      </c>
      <c r="D44" s="560"/>
      <c r="E44" s="522"/>
      <c r="F44" s="560"/>
      <c r="G44" s="560"/>
      <c r="H44" s="560"/>
      <c r="I44" s="560"/>
      <c r="J44" s="560"/>
      <c r="K44" s="560"/>
      <c r="L44" s="560"/>
      <c r="M44" s="560"/>
      <c r="N44" s="560"/>
      <c r="O44" s="560"/>
      <c r="P44" s="522"/>
      <c r="Q44" s="551" t="s">
        <v>588</v>
      </c>
      <c r="R44" s="569" t="s">
        <v>910</v>
      </c>
      <c r="S44" s="569" t="s">
        <v>910</v>
      </c>
      <c r="T44" s="523"/>
      <c r="U44" s="358"/>
      <c r="V44" s="358"/>
      <c r="W44" s="358"/>
      <c r="X44" s="358"/>
      <c r="Y44" s="359" t="s">
        <v>567</v>
      </c>
      <c r="Z44" s="400">
        <f>'Database Server Info'!N3</f>
        <v>1</v>
      </c>
      <c r="AA44" s="401">
        <f>IF(ISBLANK(B29),Z44,B29)</f>
        <v>1</v>
      </c>
      <c r="AB44" s="366"/>
      <c r="AC44" s="367"/>
      <c r="AD44" s="359" t="s">
        <v>645</v>
      </c>
      <c r="AE44" s="359">
        <f>AE42*IF(ISBLANK('Clinical Info'!H9),3*'Clinical Info'!H8,'Clinical Info'!H9)</f>
        <v>0</v>
      </c>
      <c r="AF44" s="359">
        <f>ROUNDUP(AE44/10,0)</f>
        <v>0</v>
      </c>
      <c r="AG44" s="365">
        <f>AE44/AE42</f>
        <v>0</v>
      </c>
      <c r="AH44" s="358"/>
      <c r="AI44" s="358"/>
      <c r="AJ44" s="358"/>
      <c r="AK44" s="358"/>
      <c r="AL44" s="358"/>
      <c r="AY44"/>
      <c r="AZ44"/>
      <c r="BA44"/>
      <c r="BB44"/>
      <c r="BC44"/>
      <c r="BD44"/>
      <c r="BE44"/>
      <c r="BF44"/>
      <c r="BG44"/>
      <c r="BH44"/>
      <c r="BI44"/>
      <c r="BJ44"/>
      <c r="BK44"/>
      <c r="BL44"/>
      <c r="BM44"/>
      <c r="BN44"/>
      <c r="BO44"/>
      <c r="BP44"/>
      <c r="BQ44"/>
      <c r="BR44"/>
      <c r="BS44"/>
      <c r="BT44"/>
      <c r="BU44"/>
      <c r="BV44"/>
      <c r="BW44"/>
      <c r="BX44"/>
      <c r="BY44"/>
      <c r="BZ44"/>
      <c r="CA44"/>
      <c r="CB44"/>
      <c r="CC44"/>
      <c r="CD44"/>
    </row>
    <row r="45" spans="1:82" s="5" customFormat="1" ht="18.75" customHeight="1" thickTop="1">
      <c r="A45" s="560"/>
      <c r="B45" s="560"/>
      <c r="C45" s="560"/>
      <c r="D45" s="560"/>
      <c r="E45" s="522"/>
      <c r="F45" s="560"/>
      <c r="G45" s="560"/>
      <c r="H45" s="560"/>
      <c r="I45" s="560"/>
      <c r="J45" s="560"/>
      <c r="K45" s="560"/>
      <c r="L45" s="560"/>
      <c r="M45" s="560"/>
      <c r="N45" s="560"/>
      <c r="O45" s="560"/>
      <c r="P45" s="522"/>
      <c r="Q45" s="18"/>
      <c r="R45" s="522"/>
      <c r="S45" s="522"/>
      <c r="T45" s="523"/>
      <c r="U45" s="358"/>
      <c r="V45" s="358"/>
      <c r="W45" s="358" t="str">
        <f>LEFT(Z45,3)</f>
        <v>Sel</v>
      </c>
      <c r="X45" s="358" t="str">
        <f>IF(W45="Not","No",W45)</f>
        <v>Sel</v>
      </c>
      <c r="Y45" s="358" t="s">
        <v>482</v>
      </c>
      <c r="Z45" s="361" t="str">
        <f>'Database Server Info'!K3</f>
        <v>Select One:</v>
      </c>
      <c r="AA45" s="401">
        <f>'Physical Config Checklist '!B41</f>
        <v>15</v>
      </c>
      <c r="AB45" s="369"/>
      <c r="AC45" s="370"/>
      <c r="AD45" s="359" t="s">
        <v>646</v>
      </c>
      <c r="AE45" s="401">
        <f>IF(ISBLANK(C30),AE44,C30)</f>
        <v>0</v>
      </c>
      <c r="AF45" s="401">
        <f>ROUNDUP(AE45/10,0)</f>
        <v>0</v>
      </c>
      <c r="AG45" s="358"/>
      <c r="AH45" s="358"/>
      <c r="AI45" s="358"/>
      <c r="AJ45" s="358"/>
      <c r="AK45" s="358"/>
      <c r="AL45" s="358"/>
      <c r="AY45"/>
      <c r="AZ45"/>
      <c r="BA45"/>
      <c r="BB45"/>
      <c r="BC45"/>
      <c r="BD45"/>
      <c r="BE45"/>
      <c r="BF45"/>
      <c r="BG45"/>
      <c r="BH45"/>
      <c r="BI45"/>
      <c r="BJ45"/>
      <c r="BK45"/>
      <c r="BL45"/>
      <c r="BM45"/>
      <c r="BN45"/>
      <c r="BO45"/>
      <c r="BP45"/>
      <c r="BQ45"/>
      <c r="BR45"/>
      <c r="BS45"/>
      <c r="BT45"/>
      <c r="BU45"/>
      <c r="BV45"/>
      <c r="BW45"/>
      <c r="BX45"/>
      <c r="BY45"/>
      <c r="BZ45"/>
      <c r="CA45"/>
      <c r="CB45"/>
      <c r="CC45"/>
      <c r="CD45"/>
    </row>
    <row r="46" spans="1:82" s="5" customFormat="1" ht="15" customHeight="1">
      <c r="A46" s="560"/>
      <c r="B46" s="560"/>
      <c r="C46" s="560"/>
      <c r="D46" s="560"/>
      <c r="E46" s="522"/>
      <c r="F46" s="560"/>
      <c r="G46" s="560"/>
      <c r="H46" s="560"/>
      <c r="I46" s="560"/>
      <c r="J46" s="560"/>
      <c r="K46" s="560"/>
      <c r="L46" s="560"/>
      <c r="M46" s="560"/>
      <c r="N46" s="560"/>
      <c r="O46" s="560"/>
      <c r="P46" s="522"/>
      <c r="Q46" s="18"/>
      <c r="R46" s="522"/>
      <c r="S46" s="522"/>
      <c r="T46" s="523"/>
      <c r="U46" s="358"/>
      <c r="V46" s="358"/>
      <c r="W46" s="358"/>
      <c r="X46" s="361" t="str">
        <f>Z46</f>
        <v>Select One:</v>
      </c>
      <c r="Y46" s="358" t="s">
        <v>483</v>
      </c>
      <c r="Z46" s="361" t="str">
        <f>'Citrix or Terminal Server Info'!H5</f>
        <v>Select One:</v>
      </c>
      <c r="AA46" s="358"/>
      <c r="AB46" s="369"/>
      <c r="AC46" s="370"/>
      <c r="AD46" s="358"/>
      <c r="AE46" s="401">
        <f>'Physical Config Checklist '!C35</f>
        <v>0</v>
      </c>
      <c r="AF46" s="358"/>
      <c r="AG46" s="358"/>
      <c r="AH46" s="358"/>
      <c r="AI46" s="358"/>
      <c r="AJ46" s="358"/>
      <c r="AK46" s="358"/>
      <c r="AL46" s="358"/>
      <c r="AY46"/>
      <c r="AZ46"/>
      <c r="BA46"/>
      <c r="BB46"/>
      <c r="BC46"/>
      <c r="BD46"/>
      <c r="BE46"/>
      <c r="BF46"/>
      <c r="BG46"/>
      <c r="BH46"/>
      <c r="BI46"/>
      <c r="BJ46"/>
      <c r="BK46"/>
      <c r="BL46"/>
      <c r="BM46"/>
      <c r="BN46"/>
      <c r="BO46"/>
      <c r="BP46"/>
      <c r="BQ46"/>
      <c r="BR46"/>
      <c r="BS46"/>
      <c r="BT46"/>
      <c r="BU46"/>
      <c r="BV46"/>
      <c r="BW46"/>
      <c r="BX46"/>
      <c r="BY46"/>
      <c r="BZ46"/>
      <c r="CA46"/>
      <c r="CB46"/>
      <c r="CC46"/>
      <c r="CD46"/>
    </row>
    <row r="47" spans="1:82" s="5" customFormat="1" ht="18.75" customHeight="1">
      <c r="A47" s="560"/>
      <c r="B47" s="560"/>
      <c r="C47" s="560"/>
      <c r="D47" s="560"/>
      <c r="E47" s="522"/>
      <c r="F47" s="560"/>
      <c r="G47" s="560"/>
      <c r="H47" s="560"/>
      <c r="I47" s="560"/>
      <c r="J47" s="560"/>
      <c r="K47" s="560"/>
      <c r="L47" s="560"/>
      <c r="M47" s="560"/>
      <c r="N47" s="560"/>
      <c r="O47" s="560"/>
      <c r="P47" s="522"/>
      <c r="Q47" s="18"/>
      <c r="R47" s="522"/>
      <c r="S47" s="522"/>
      <c r="T47" s="523"/>
      <c r="U47" s="358"/>
      <c r="V47" s="358"/>
      <c r="W47" s="358"/>
      <c r="X47" s="358"/>
      <c r="Y47" s="358" t="s">
        <v>508</v>
      </c>
      <c r="Z47" s="361" t="str">
        <f>'Database Server Info'!K4</f>
        <v>Select One:</v>
      </c>
      <c r="AA47" s="358"/>
      <c r="AB47" s="358" t="s">
        <v>504</v>
      </c>
      <c r="AC47" s="358"/>
      <c r="AD47" s="358"/>
      <c r="AE47" s="358"/>
      <c r="AF47" s="358"/>
      <c r="AG47" s="358"/>
      <c r="AH47" s="358"/>
      <c r="AI47" s="358"/>
      <c r="AJ47" s="358"/>
      <c r="AK47" s="358"/>
      <c r="AL47" s="358"/>
      <c r="AY47"/>
      <c r="AZ47"/>
      <c r="BA47"/>
      <c r="BB47"/>
      <c r="BC47"/>
      <c r="BD47"/>
      <c r="BE47"/>
      <c r="BF47"/>
      <c r="BG47"/>
      <c r="BH47"/>
      <c r="BI47"/>
      <c r="BJ47"/>
      <c r="BK47"/>
      <c r="BL47"/>
      <c r="BM47"/>
      <c r="BN47"/>
      <c r="BO47"/>
      <c r="BP47"/>
      <c r="BQ47"/>
      <c r="BR47"/>
      <c r="BS47"/>
      <c r="BT47"/>
      <c r="BU47"/>
      <c r="BV47"/>
      <c r="BW47"/>
      <c r="BX47"/>
      <c r="BY47"/>
      <c r="BZ47"/>
      <c r="CA47"/>
      <c r="CB47"/>
      <c r="CC47"/>
      <c r="CD47"/>
    </row>
    <row r="48" spans="1:82" s="5" customFormat="1" ht="14.65" thickBot="1">
      <c r="A48" s="560"/>
      <c r="B48" s="560"/>
      <c r="C48" s="560"/>
      <c r="D48" s="560"/>
      <c r="E48" s="527"/>
      <c r="F48" s="102"/>
      <c r="G48" s="527"/>
      <c r="H48" s="527"/>
      <c r="I48" s="527"/>
      <c r="J48" s="527"/>
      <c r="K48" s="527"/>
      <c r="L48" s="527"/>
      <c r="M48" s="527"/>
      <c r="N48" s="527"/>
      <c r="O48" s="527"/>
      <c r="P48" s="527"/>
      <c r="Q48" s="527"/>
      <c r="R48" s="527"/>
      <c r="S48" s="527"/>
      <c r="T48" s="528"/>
      <c r="U48" s="358"/>
      <c r="V48" s="358"/>
      <c r="W48" s="358" t="str">
        <f>LEFT(Z48,3)</f>
        <v>Sel</v>
      </c>
      <c r="X48" s="358" t="str">
        <f>IF(W48="Not","No",W48)</f>
        <v>Sel</v>
      </c>
      <c r="Y48" s="358" t="s">
        <v>693</v>
      </c>
      <c r="Z48" s="361" t="str">
        <f>'Database Server Info'!M4</f>
        <v>Select One:</v>
      </c>
      <c r="AA48" s="358" t="s">
        <v>498</v>
      </c>
      <c r="AB48" s="358" t="s">
        <v>505</v>
      </c>
      <c r="AC48" s="358" t="s">
        <v>506</v>
      </c>
      <c r="AD48" s="358"/>
      <c r="AE48" s="358"/>
      <c r="AF48" s="358"/>
      <c r="AG48" s="358"/>
      <c r="AH48" s="358"/>
      <c r="AI48" s="358"/>
      <c r="AJ48" s="358"/>
      <c r="AK48" s="358"/>
      <c r="AL48" s="358"/>
      <c r="AY48"/>
      <c r="AZ48"/>
      <c r="BA48"/>
      <c r="BB48"/>
      <c r="BC48"/>
      <c r="BD48"/>
      <c r="BE48"/>
      <c r="BF48"/>
      <c r="BG48"/>
      <c r="BH48"/>
      <c r="BI48"/>
      <c r="BJ48"/>
      <c r="BK48"/>
      <c r="BL48"/>
      <c r="BM48"/>
      <c r="BN48"/>
      <c r="BO48"/>
      <c r="BP48"/>
      <c r="BQ48"/>
      <c r="BR48"/>
      <c r="BS48"/>
      <c r="BT48"/>
      <c r="BU48"/>
      <c r="BV48"/>
      <c r="BW48"/>
      <c r="BX48"/>
      <c r="BY48"/>
      <c r="BZ48"/>
      <c r="CA48"/>
      <c r="CB48"/>
      <c r="CC48"/>
      <c r="CD48"/>
    </row>
    <row r="49" spans="1:82" s="5" customFormat="1" ht="22.5" customHeight="1" thickBot="1">
      <c r="A49" s="1362" t="s">
        <v>568</v>
      </c>
      <c r="B49" s="1363"/>
      <c r="C49" s="1363"/>
      <c r="D49" s="1363"/>
      <c r="E49" s="1363"/>
      <c r="F49" s="1363"/>
      <c r="G49" s="1363"/>
      <c r="H49" s="1363"/>
      <c r="I49" s="1363"/>
      <c r="J49" s="1363"/>
      <c r="K49" s="1363"/>
      <c r="L49" s="1363"/>
      <c r="M49" s="1363"/>
      <c r="N49" s="1363"/>
      <c r="O49" s="1363"/>
      <c r="P49" s="1363"/>
      <c r="Q49" s="1363"/>
      <c r="R49" s="1363"/>
      <c r="S49" s="1363"/>
      <c r="T49" s="1364"/>
      <c r="U49" s="358"/>
      <c r="V49" s="358"/>
      <c r="W49" s="358"/>
      <c r="X49" s="358"/>
      <c r="Y49" s="363" t="s">
        <v>497</v>
      </c>
      <c r="Z49" s="364" t="s">
        <v>60</v>
      </c>
      <c r="AA49" s="358">
        <v>4</v>
      </c>
      <c r="AB49" s="358"/>
      <c r="AC49" s="358"/>
      <c r="AD49" s="358"/>
      <c r="AE49" s="358"/>
      <c r="AF49" s="358"/>
      <c r="AG49" s="358"/>
      <c r="AH49" s="358"/>
      <c r="AI49" s="358"/>
      <c r="AJ49" s="358"/>
      <c r="AK49" s="358"/>
      <c r="AL49" s="358"/>
      <c r="AY49"/>
      <c r="AZ49"/>
      <c r="BA49"/>
      <c r="BB49"/>
      <c r="BC49"/>
      <c r="BD49"/>
      <c r="BE49"/>
      <c r="BF49"/>
      <c r="BG49"/>
      <c r="BH49"/>
      <c r="BI49"/>
      <c r="BJ49"/>
      <c r="BK49"/>
      <c r="BL49"/>
      <c r="BM49"/>
      <c r="BN49"/>
      <c r="BO49"/>
      <c r="BP49"/>
      <c r="BQ49"/>
      <c r="BR49"/>
      <c r="BS49"/>
      <c r="BT49"/>
      <c r="BU49"/>
      <c r="BV49"/>
      <c r="BW49"/>
      <c r="BX49"/>
      <c r="BY49"/>
      <c r="BZ49"/>
      <c r="CA49"/>
      <c r="CB49"/>
      <c r="CC49"/>
      <c r="CD49"/>
    </row>
    <row r="50" spans="1:82" s="5" customFormat="1" ht="26.45" customHeight="1" thickTop="1">
      <c r="A50" s="1365" t="s">
        <v>88</v>
      </c>
      <c r="B50" s="1366"/>
      <c r="C50" s="1366"/>
      <c r="D50" s="1371"/>
      <c r="E50" s="1372"/>
      <c r="F50" s="1367" t="s">
        <v>507</v>
      </c>
      <c r="G50" s="1366"/>
      <c r="H50" s="1366"/>
      <c r="I50" s="1371"/>
      <c r="J50" s="1373"/>
      <c r="K50" s="1373"/>
      <c r="L50" s="1373"/>
      <c r="M50" s="1373"/>
      <c r="N50" s="1373"/>
      <c r="O50" s="1373"/>
      <c r="P50" s="1372"/>
      <c r="Q50" s="1368"/>
      <c r="R50" s="1369"/>
      <c r="S50" s="1370"/>
      <c r="T50" s="570"/>
      <c r="U50" s="358"/>
      <c r="V50" s="358"/>
      <c r="W50" s="358"/>
      <c r="X50" s="358"/>
      <c r="Y50" s="366"/>
      <c r="Z50" s="367" t="s">
        <v>500</v>
      </c>
      <c r="AA50" s="358">
        <v>4</v>
      </c>
      <c r="AB50" s="358">
        <v>32</v>
      </c>
      <c r="AC50" s="358">
        <v>32</v>
      </c>
      <c r="AD50" s="358"/>
      <c r="AE50" s="358"/>
      <c r="AF50" s="358"/>
      <c r="AG50" s="358"/>
      <c r="AH50" s="358"/>
      <c r="AI50" s="358"/>
      <c r="AJ50" s="358"/>
      <c r="AK50" s="358"/>
      <c r="AL50" s="358"/>
      <c r="AY50"/>
      <c r="AZ50"/>
      <c r="BA50"/>
      <c r="BB50"/>
      <c r="BC50"/>
      <c r="BD50"/>
      <c r="BE50"/>
      <c r="BF50"/>
      <c r="BG50"/>
      <c r="BH50"/>
      <c r="BI50"/>
      <c r="BJ50"/>
      <c r="BK50"/>
      <c r="BL50"/>
      <c r="BM50"/>
      <c r="BN50"/>
      <c r="BO50"/>
      <c r="BP50"/>
      <c r="BQ50"/>
      <c r="BR50"/>
      <c r="BS50"/>
      <c r="BT50"/>
      <c r="BU50"/>
      <c r="BV50"/>
      <c r="BW50"/>
      <c r="BX50"/>
      <c r="BY50"/>
      <c r="BZ50"/>
      <c r="CA50"/>
      <c r="CB50"/>
      <c r="CC50"/>
      <c r="CD50"/>
    </row>
    <row r="51" spans="1:82" s="5" customFormat="1" ht="27.75" customHeight="1">
      <c r="A51" s="1182" t="s">
        <v>775</v>
      </c>
      <c r="B51" s="1390"/>
      <c r="C51" s="1390"/>
      <c r="D51" s="1392"/>
      <c r="E51" s="1394"/>
      <c r="F51" s="1398" t="str">
        <f>IF(OR(I53="Select One:",I53="Other",ISBLANK(D51)),"vRAM in GB allocated to all VMs per host:",IF(D51&lt;4,"Minimum number physical cores per CPU should not be less than 4.",IF(VLOOKUP(I53,Defaults!D17:E32,2,FALSE)=D51,"vRAM in GB allocated to all VMs per host:",IF(D51=U51,"vRAM in GB allocated to all VMs per host:","&lt;&lt; Warning: Number of cores specified does not match CPU model range."))))</f>
        <v>vRAM in GB allocated to all VMs per host:</v>
      </c>
      <c r="G51" s="1399"/>
      <c r="H51" s="1400"/>
      <c r="I51" s="1392"/>
      <c r="J51" s="1393"/>
      <c r="K51" s="1393"/>
      <c r="L51" s="1393"/>
      <c r="M51" s="1393"/>
      <c r="N51" s="1393"/>
      <c r="O51" s="1393"/>
      <c r="P51" s="1394"/>
      <c r="Q51" s="1395"/>
      <c r="R51" s="1396"/>
      <c r="S51" s="1397"/>
      <c r="T51" s="571"/>
      <c r="U51" s="385" t="str">
        <f>IF(OR(I53="Select One:",I53="Other",ISBLANK(D51)),"",VLOOKUP(I53,Defaults!D17:E32,2,FALSE))</f>
        <v/>
      </c>
      <c r="V51" s="384" t="s">
        <v>776</v>
      </c>
      <c r="W51" s="358"/>
      <c r="X51" s="358"/>
      <c r="Y51" s="366"/>
      <c r="Z51" s="367" t="s">
        <v>764</v>
      </c>
      <c r="AA51" s="358">
        <v>8</v>
      </c>
      <c r="AB51" s="358">
        <v>32</v>
      </c>
      <c r="AC51" s="358">
        <v>1024</v>
      </c>
      <c r="AD51" s="358"/>
      <c r="AE51" s="358"/>
      <c r="AF51" s="358"/>
      <c r="AG51" s="358"/>
      <c r="AH51" s="358"/>
      <c r="AI51" s="358"/>
      <c r="AJ51" s="358"/>
      <c r="AK51" s="358"/>
      <c r="AL51" s="358"/>
      <c r="AY51"/>
      <c r="AZ51"/>
      <c r="BA51"/>
      <c r="BB51"/>
      <c r="BC51"/>
      <c r="BD51"/>
      <c r="BE51"/>
      <c r="BF51"/>
      <c r="BG51"/>
      <c r="BH51"/>
      <c r="BI51"/>
      <c r="BJ51"/>
      <c r="BK51"/>
      <c r="BL51"/>
      <c r="BM51"/>
      <c r="BN51"/>
      <c r="BO51"/>
      <c r="BP51"/>
      <c r="BQ51"/>
      <c r="BR51"/>
      <c r="BS51"/>
      <c r="BT51"/>
      <c r="BU51"/>
      <c r="BV51"/>
      <c r="BW51"/>
      <c r="BX51"/>
      <c r="BY51"/>
      <c r="BZ51"/>
      <c r="CA51"/>
      <c r="CB51"/>
      <c r="CC51"/>
      <c r="CD51"/>
    </row>
    <row r="52" spans="1:82" s="5" customFormat="1" ht="17.25" customHeight="1">
      <c r="A52" s="1182" t="s">
        <v>89</v>
      </c>
      <c r="B52" s="1390"/>
      <c r="C52" s="1390"/>
      <c r="D52" s="1392"/>
      <c r="E52" s="1394"/>
      <c r="F52" s="1391" t="s">
        <v>919</v>
      </c>
      <c r="G52" s="1390"/>
      <c r="H52" s="1390"/>
      <c r="I52" s="1392" t="s">
        <v>60</v>
      </c>
      <c r="J52" s="1393"/>
      <c r="K52" s="1393"/>
      <c r="L52" s="1393"/>
      <c r="M52" s="1393"/>
      <c r="N52" s="1393"/>
      <c r="O52" s="1393"/>
      <c r="P52" s="1394"/>
      <c r="Q52" s="1395"/>
      <c r="R52" s="1396"/>
      <c r="S52" s="1397"/>
      <c r="T52" s="571"/>
      <c r="U52" s="358"/>
      <c r="V52" s="358"/>
      <c r="W52" s="358"/>
      <c r="X52" s="358"/>
      <c r="Y52" s="366"/>
      <c r="Z52" s="367" t="s">
        <v>499</v>
      </c>
      <c r="AA52" s="358">
        <v>8</v>
      </c>
      <c r="AB52" s="358">
        <v>64</v>
      </c>
      <c r="AC52" s="358">
        <v>1024</v>
      </c>
      <c r="AD52" s="358"/>
      <c r="AE52" s="358"/>
      <c r="AF52" s="358"/>
      <c r="AG52" s="358"/>
      <c r="AH52" s="358"/>
      <c r="AI52" s="358"/>
      <c r="AJ52" s="358"/>
      <c r="AK52" s="358"/>
      <c r="AL52" s="358"/>
      <c r="AY52"/>
      <c r="AZ52"/>
      <c r="BA52"/>
      <c r="BB52"/>
      <c r="BC52"/>
      <c r="BD52"/>
      <c r="BE52"/>
      <c r="BF52"/>
      <c r="BG52"/>
      <c r="BH52"/>
      <c r="BI52"/>
      <c r="BJ52"/>
      <c r="BK52"/>
      <c r="BL52"/>
      <c r="BM52"/>
      <c r="BN52"/>
      <c r="BO52"/>
      <c r="BP52"/>
      <c r="BQ52"/>
      <c r="BR52"/>
      <c r="BS52"/>
      <c r="BT52"/>
      <c r="BU52"/>
      <c r="BV52"/>
      <c r="BW52"/>
      <c r="BX52"/>
      <c r="BY52"/>
      <c r="BZ52"/>
      <c r="CA52"/>
      <c r="CB52"/>
      <c r="CC52"/>
      <c r="CD52"/>
    </row>
    <row r="53" spans="1:82" s="5" customFormat="1" ht="15.75" customHeight="1">
      <c r="A53" s="1182" t="s">
        <v>90</v>
      </c>
      <c r="B53" s="1390"/>
      <c r="C53" s="1390"/>
      <c r="D53" s="1392"/>
      <c r="E53" s="1394"/>
      <c r="F53" s="1391" t="s">
        <v>552</v>
      </c>
      <c r="G53" s="1390"/>
      <c r="H53" s="1390"/>
      <c r="I53" s="1403" t="s">
        <v>60</v>
      </c>
      <c r="J53" s="1404"/>
      <c r="K53" s="1404"/>
      <c r="L53" s="1404"/>
      <c r="M53" s="1404"/>
      <c r="N53" s="1404"/>
      <c r="O53" s="1404"/>
      <c r="P53" s="1394"/>
      <c r="Q53" s="1395"/>
      <c r="R53" s="1396"/>
      <c r="S53" s="1397"/>
      <c r="T53" s="571"/>
      <c r="U53" s="358"/>
      <c r="V53" s="358"/>
      <c r="W53" s="358"/>
      <c r="X53" s="358"/>
      <c r="Y53" s="366"/>
      <c r="Z53" s="367" t="s">
        <v>501</v>
      </c>
      <c r="AA53" s="358">
        <v>32</v>
      </c>
      <c r="AB53" s="358">
        <v>96</v>
      </c>
      <c r="AC53" s="358">
        <v>1024</v>
      </c>
      <c r="AD53" s="358"/>
      <c r="AE53" s="358"/>
      <c r="AF53" s="358"/>
      <c r="AG53" s="358"/>
      <c r="AH53" s="358"/>
      <c r="AI53" s="358"/>
      <c r="AJ53" s="358"/>
      <c r="AK53" s="358"/>
      <c r="AL53" s="358"/>
      <c r="AY53"/>
      <c r="AZ53"/>
      <c r="BA53"/>
      <c r="BB53"/>
      <c r="BC53"/>
      <c r="BD53"/>
      <c r="BE53"/>
      <c r="BF53"/>
      <c r="BG53"/>
      <c r="BH53"/>
      <c r="BI53"/>
      <c r="BJ53"/>
      <c r="BK53"/>
      <c r="BL53"/>
      <c r="BM53"/>
      <c r="BN53"/>
      <c r="BO53"/>
      <c r="BP53"/>
      <c r="BQ53"/>
      <c r="BR53"/>
      <c r="BS53"/>
      <c r="BT53"/>
      <c r="BU53"/>
      <c r="BV53"/>
      <c r="BW53"/>
      <c r="BX53"/>
      <c r="BY53"/>
      <c r="BZ53"/>
      <c r="CA53"/>
      <c r="CB53"/>
      <c r="CC53"/>
      <c r="CD53"/>
    </row>
    <row r="54" spans="1:82" s="5" customFormat="1" ht="21" customHeight="1" thickBot="1">
      <c r="A54" s="1197" t="s">
        <v>119</v>
      </c>
      <c r="B54" s="1405"/>
      <c r="C54" s="1405"/>
      <c r="D54" s="1199"/>
      <c r="E54" s="1402"/>
      <c r="F54" s="1201" t="s">
        <v>735</v>
      </c>
      <c r="G54" s="1202"/>
      <c r="H54" s="1203"/>
      <c r="I54" s="1199"/>
      <c r="J54" s="1401"/>
      <c r="K54" s="1401"/>
      <c r="L54" s="1401"/>
      <c r="M54" s="1401"/>
      <c r="N54" s="1401"/>
      <c r="O54" s="1401"/>
      <c r="P54" s="1402"/>
      <c r="Q54" s="529"/>
      <c r="R54" s="529"/>
      <c r="S54" s="529"/>
      <c r="T54" s="571"/>
      <c r="U54" s="358"/>
      <c r="V54" s="358"/>
      <c r="W54" s="358"/>
      <c r="X54" s="358"/>
      <c r="Y54" s="366"/>
      <c r="Z54" s="367" t="s">
        <v>502</v>
      </c>
      <c r="AA54" s="358"/>
      <c r="AB54" s="358"/>
      <c r="AC54" s="358"/>
      <c r="AD54" s="358"/>
      <c r="AE54" s="358"/>
      <c r="AF54" s="358"/>
      <c r="AG54" s="358"/>
      <c r="AH54" s="358"/>
      <c r="AI54" s="358"/>
      <c r="AJ54" s="358"/>
      <c r="AK54" s="358"/>
      <c r="AL54" s="358"/>
      <c r="AY54"/>
      <c r="AZ54"/>
      <c r="BA54"/>
      <c r="BB54"/>
      <c r="BC54"/>
      <c r="BD54"/>
      <c r="BE54"/>
      <c r="BF54"/>
      <c r="BG54"/>
      <c r="BH54"/>
      <c r="BI54"/>
      <c r="BJ54"/>
      <c r="BK54"/>
      <c r="BL54"/>
      <c r="BM54"/>
      <c r="BN54"/>
      <c r="BO54"/>
      <c r="BP54"/>
      <c r="BQ54"/>
      <c r="BR54"/>
      <c r="BS54"/>
      <c r="BT54"/>
      <c r="BU54"/>
      <c r="BV54"/>
      <c r="BW54"/>
      <c r="BX54"/>
      <c r="BY54"/>
      <c r="BZ54"/>
      <c r="CA54"/>
      <c r="CB54"/>
      <c r="CC54"/>
      <c r="CD54"/>
    </row>
    <row r="55" spans="1:82" s="5" customFormat="1" ht="20.25" customHeight="1" thickTop="1">
      <c r="A55" s="530" t="s">
        <v>37</v>
      </c>
      <c r="B55" s="572" t="str">
        <f>IF(OR(ISBLANK(D50),ISBLANK(D51),ISBLANK(I50)),"",IF(I52="Yes",IF(I50&gt;(2*D50*D51-1),"Yes","No"),IF(I50&gt;(D50*D51-1),"Yes","No")))</f>
        <v/>
      </c>
      <c r="C55" s="1406" t="str">
        <f>IF(B55="Yes","WARNING: CONFIGURATION ISSUES - Number of virtual CPUs configured exceed the number of available physical(logical) cores within the host! Reduce number of VMs on host.","")</f>
        <v/>
      </c>
      <c r="D55" s="1407"/>
      <c r="E55" s="1407"/>
      <c r="F55" s="1407"/>
      <c r="G55" s="1407"/>
      <c r="H55" s="1407"/>
      <c r="I55" s="1407"/>
      <c r="J55" s="1407"/>
      <c r="K55" s="1407"/>
      <c r="L55" s="1407"/>
      <c r="M55" s="1407"/>
      <c r="N55" s="1407"/>
      <c r="O55" s="1407"/>
      <c r="P55" s="1407"/>
      <c r="Q55" s="1407"/>
      <c r="R55" s="1407"/>
      <c r="S55" s="1407"/>
      <c r="T55" s="1408"/>
      <c r="U55" s="358"/>
      <c r="V55" s="358"/>
      <c r="W55" s="358"/>
      <c r="X55" s="358"/>
      <c r="Y55" s="369"/>
      <c r="Z55" s="370" t="s">
        <v>503</v>
      </c>
      <c r="AA55" s="358"/>
      <c r="AB55" s="358"/>
      <c r="AC55" s="358"/>
      <c r="AD55" s="358"/>
      <c r="AE55" s="358"/>
      <c r="AF55" s="358"/>
      <c r="AG55" s="358"/>
      <c r="AH55" s="358"/>
      <c r="AI55" s="358"/>
      <c r="AJ55" s="358"/>
      <c r="AK55" s="358"/>
      <c r="AL55" s="358"/>
      <c r="AY55"/>
      <c r="AZ55"/>
      <c r="BA55"/>
      <c r="BB55"/>
      <c r="BC55"/>
      <c r="BD55"/>
      <c r="BE55"/>
      <c r="BF55"/>
      <c r="BG55"/>
      <c r="BH55"/>
      <c r="BI55"/>
      <c r="BJ55"/>
      <c r="BK55"/>
      <c r="BL55"/>
      <c r="BM55"/>
      <c r="BN55"/>
      <c r="BO55"/>
      <c r="BP55"/>
      <c r="BQ55"/>
      <c r="BR55"/>
      <c r="BS55"/>
      <c r="BT55"/>
      <c r="BU55"/>
      <c r="BV55"/>
      <c r="BW55"/>
      <c r="BX55"/>
      <c r="BY55"/>
      <c r="BZ55"/>
      <c r="CA55"/>
      <c r="CB55"/>
      <c r="CC55"/>
      <c r="CD55"/>
    </row>
    <row r="56" spans="1:82" s="5" customFormat="1" ht="21" customHeight="1">
      <c r="A56" s="531" t="s">
        <v>38</v>
      </c>
      <c r="B56" s="573" t="str">
        <f>IF(OR(ISBLANK(D52),ISBLANK(I51)),"",IF(I51&gt;D52-4,"Yes","No"))</f>
        <v/>
      </c>
      <c r="C56" s="1409" t="str">
        <f>IF(B56="Yes","WARNING: CONFIGURATION ISSUES - Amount of virtual RAM configured exceeds the amount of available physical RAM within the host! Reduce number of VMs on host.","")</f>
        <v/>
      </c>
      <c r="D56" s="1410"/>
      <c r="E56" s="1410"/>
      <c r="F56" s="1410"/>
      <c r="G56" s="1410"/>
      <c r="H56" s="1410"/>
      <c r="I56" s="1410"/>
      <c r="J56" s="1410"/>
      <c r="K56" s="1410"/>
      <c r="L56" s="1410"/>
      <c r="M56" s="1410"/>
      <c r="N56" s="1410"/>
      <c r="O56" s="1410"/>
      <c r="P56" s="1410"/>
      <c r="Q56" s="1410"/>
      <c r="R56" s="1410"/>
      <c r="S56" s="1410"/>
      <c r="T56" s="1411"/>
      <c r="U56" s="358"/>
      <c r="V56" s="358"/>
      <c r="W56" s="358"/>
      <c r="X56" s="358"/>
      <c r="Y56" s="358"/>
      <c r="Z56" s="358"/>
      <c r="AA56" s="358"/>
      <c r="AB56" s="358"/>
      <c r="AC56" s="358"/>
      <c r="AD56" s="358"/>
      <c r="AE56" s="358"/>
      <c r="AF56" s="358"/>
      <c r="AG56" s="358"/>
      <c r="AH56" s="358"/>
      <c r="AI56" s="358"/>
      <c r="AJ56" s="358"/>
      <c r="AK56" s="358"/>
      <c r="AL56" s="358"/>
      <c r="AY56"/>
      <c r="AZ56"/>
      <c r="BA56"/>
      <c r="BB56"/>
      <c r="BC56"/>
      <c r="BD56"/>
      <c r="BE56"/>
      <c r="BF56"/>
      <c r="BG56"/>
      <c r="BH56"/>
      <c r="BI56"/>
      <c r="BJ56"/>
      <c r="BK56"/>
      <c r="BL56"/>
      <c r="BM56"/>
      <c r="BN56"/>
      <c r="BO56"/>
      <c r="BP56"/>
      <c r="BQ56"/>
      <c r="BR56"/>
      <c r="BS56"/>
      <c r="BT56"/>
      <c r="BU56"/>
      <c r="BV56"/>
      <c r="BW56"/>
      <c r="BX56"/>
      <c r="BY56"/>
      <c r="BZ56"/>
      <c r="CA56"/>
      <c r="CB56"/>
      <c r="CC56"/>
      <c r="CD56"/>
    </row>
    <row r="57" spans="1:82" s="5" customFormat="1" ht="19.5" customHeight="1" thickBot="1">
      <c r="A57" s="532" t="s">
        <v>39</v>
      </c>
      <c r="B57" s="574" t="str">
        <f>Z63</f>
        <v/>
      </c>
      <c r="C57" s="1194" t="s">
        <v>40</v>
      </c>
      <c r="D57" s="1195"/>
      <c r="E57" s="1195"/>
      <c r="F57" s="1195"/>
      <c r="G57" s="1195"/>
      <c r="H57" s="1195"/>
      <c r="I57" s="1195"/>
      <c r="J57" s="1195"/>
      <c r="K57" s="1195"/>
      <c r="L57" s="1195"/>
      <c r="M57" s="1195"/>
      <c r="N57" s="1195"/>
      <c r="O57" s="1195"/>
      <c r="P57" s="1195"/>
      <c r="Q57" s="1195"/>
      <c r="R57" s="1195"/>
      <c r="S57" s="1195"/>
      <c r="T57" s="1196"/>
      <c r="U57" s="358"/>
      <c r="V57" s="358"/>
      <c r="W57" s="358"/>
      <c r="X57" s="358"/>
      <c r="Y57" s="358"/>
      <c r="Z57" s="358"/>
      <c r="AA57" s="358"/>
      <c r="AB57" s="358"/>
      <c r="AC57" s="358"/>
      <c r="AD57" s="358"/>
      <c r="AE57" s="358"/>
      <c r="AF57" s="358"/>
      <c r="AG57" s="358"/>
      <c r="AH57" s="358"/>
      <c r="AI57" s="358"/>
      <c r="AJ57" s="358"/>
      <c r="AK57" s="358"/>
      <c r="AL57" s="358"/>
      <c r="AY57"/>
      <c r="AZ57"/>
      <c r="BA57"/>
      <c r="BB57"/>
      <c r="BC57"/>
      <c r="BD57"/>
      <c r="BE57"/>
      <c r="BF57"/>
      <c r="BG57"/>
      <c r="BH57"/>
      <c r="BI57"/>
      <c r="BJ57"/>
      <c r="BK57"/>
      <c r="BL57"/>
      <c r="BM57"/>
      <c r="BN57"/>
      <c r="BO57"/>
      <c r="BP57"/>
      <c r="BQ57"/>
      <c r="BR57"/>
      <c r="BS57"/>
      <c r="BT57"/>
      <c r="BU57"/>
      <c r="BV57"/>
      <c r="BW57"/>
      <c r="BX57"/>
      <c r="BY57"/>
      <c r="BZ57"/>
      <c r="CA57"/>
      <c r="CB57"/>
      <c r="CC57"/>
      <c r="CD57"/>
    </row>
    <row r="58" spans="1:82" s="5" customFormat="1" ht="16.350000000000001" customHeight="1" thickTop="1" thickBot="1">
      <c r="A58" s="1362" t="s">
        <v>569</v>
      </c>
      <c r="B58" s="1363"/>
      <c r="C58" s="1363"/>
      <c r="D58" s="1363"/>
      <c r="E58" s="1363"/>
      <c r="F58" s="1363"/>
      <c r="G58" s="1363"/>
      <c r="H58" s="1363"/>
      <c r="I58" s="1363"/>
      <c r="J58" s="1363"/>
      <c r="K58" s="1363"/>
      <c r="L58" s="1363"/>
      <c r="M58" s="1363"/>
      <c r="N58" s="1363"/>
      <c r="O58" s="1363"/>
      <c r="P58" s="1363"/>
      <c r="Q58" s="1363"/>
      <c r="R58" s="1363"/>
      <c r="S58" s="1363"/>
      <c r="T58" s="1364"/>
      <c r="U58" s="358"/>
      <c r="V58" s="358"/>
      <c r="W58" s="358"/>
      <c r="X58" s="358"/>
      <c r="Y58" s="358"/>
      <c r="Z58" s="358"/>
      <c r="AA58" s="358"/>
      <c r="AB58" s="358"/>
      <c r="AC58" s="358"/>
      <c r="AD58" s="358"/>
      <c r="AE58" s="358"/>
      <c r="AF58" s="358"/>
      <c r="AG58" s="358"/>
      <c r="AH58" s="358"/>
      <c r="AI58" s="358"/>
      <c r="AJ58" s="358"/>
      <c r="AK58" s="358"/>
      <c r="AL58" s="358"/>
      <c r="AY58"/>
      <c r="AZ58"/>
      <c r="BA58"/>
      <c r="BB58"/>
      <c r="BC58"/>
      <c r="BD58"/>
      <c r="BE58"/>
      <c r="BF58"/>
      <c r="BG58"/>
      <c r="BH58"/>
      <c r="BI58"/>
      <c r="BJ58"/>
      <c r="BK58"/>
      <c r="BL58"/>
      <c r="BM58"/>
      <c r="BN58"/>
      <c r="BO58"/>
      <c r="BP58"/>
      <c r="BQ58"/>
      <c r="BR58"/>
      <c r="BS58"/>
      <c r="BT58"/>
      <c r="BU58"/>
      <c r="BV58"/>
      <c r="BW58"/>
      <c r="BX58"/>
      <c r="BY58"/>
      <c r="BZ58"/>
      <c r="CA58"/>
      <c r="CB58"/>
      <c r="CC58"/>
      <c r="CD58"/>
    </row>
    <row r="59" spans="1:82" s="5" customFormat="1" ht="27" customHeight="1" thickTop="1">
      <c r="A59" s="1365" t="s">
        <v>88</v>
      </c>
      <c r="B59" s="1366"/>
      <c r="C59" s="1366"/>
      <c r="D59" s="1371">
        <v>12</v>
      </c>
      <c r="E59" s="1372"/>
      <c r="F59" s="1367" t="s">
        <v>507</v>
      </c>
      <c r="G59" s="1366"/>
      <c r="H59" s="1366"/>
      <c r="I59" s="1371"/>
      <c r="J59" s="1373"/>
      <c r="K59" s="1373"/>
      <c r="L59" s="1373"/>
      <c r="M59" s="1373"/>
      <c r="N59" s="1373"/>
      <c r="O59" s="1373"/>
      <c r="P59" s="1372"/>
      <c r="Q59" s="1367"/>
      <c r="R59" s="1366"/>
      <c r="S59" s="1366"/>
      <c r="T59" s="570"/>
      <c r="U59" s="358"/>
      <c r="V59" s="358"/>
      <c r="W59" s="358"/>
      <c r="X59" s="358"/>
      <c r="Y59" s="358"/>
      <c r="Z59" s="358"/>
      <c r="AA59" s="358"/>
      <c r="AB59" s="358"/>
      <c r="AC59" s="358"/>
      <c r="AD59" s="358"/>
      <c r="AE59" s="358"/>
      <c r="AF59" s="358"/>
      <c r="AG59" s="358"/>
      <c r="AH59" s="358"/>
      <c r="AI59" s="358"/>
      <c r="AJ59" s="358"/>
      <c r="AK59" s="358"/>
      <c r="AL59" s="358"/>
      <c r="AY59"/>
      <c r="AZ59"/>
      <c r="BA59"/>
      <c r="BB59"/>
      <c r="BC59"/>
      <c r="BD59"/>
      <c r="BE59"/>
      <c r="BF59"/>
      <c r="BG59"/>
      <c r="BH59"/>
      <c r="BI59"/>
      <c r="BJ59"/>
      <c r="BK59"/>
      <c r="BL59"/>
      <c r="BM59"/>
      <c r="BN59"/>
      <c r="BO59"/>
      <c r="BP59"/>
      <c r="BQ59"/>
      <c r="BR59"/>
      <c r="BS59"/>
      <c r="BT59"/>
      <c r="BU59"/>
      <c r="BV59"/>
      <c r="BW59"/>
      <c r="BX59"/>
      <c r="BY59"/>
      <c r="BZ59"/>
      <c r="CA59"/>
      <c r="CB59"/>
      <c r="CC59"/>
      <c r="CD59"/>
    </row>
    <row r="60" spans="1:82" s="5" customFormat="1" ht="29.25" customHeight="1">
      <c r="A60" s="1182" t="s">
        <v>775</v>
      </c>
      <c r="B60" s="1390"/>
      <c r="C60" s="1390"/>
      <c r="D60" s="1392">
        <v>12</v>
      </c>
      <c r="E60" s="1394"/>
      <c r="F60" s="1398" t="str">
        <f>IF(OR(I62="Select One:",I62="Other",ISBLANK(D60)),"vRAM in GB allocated to all VMs per host:",IF(D60&lt;4,"Minimum number physical cores per CPU should not be less than 4.",IF(VLOOKUP(D60,Defaults!C17:D32,2,TRUE)=I62,"vRAM in GB allocated to all VMs per host:",IF(D60=U61,"vRAM in GB allocated to all VMs per host:","&lt;&lt; Warning: Number of cores specified does not match CPU model range."))))</f>
        <v>&lt;&lt; Warning: Number of cores specified does not match CPU model range.</v>
      </c>
      <c r="G60" s="1399"/>
      <c r="H60" s="1400"/>
      <c r="I60" s="1392"/>
      <c r="J60" s="1393"/>
      <c r="K60" s="1393"/>
      <c r="L60" s="1393"/>
      <c r="M60" s="1393"/>
      <c r="N60" s="1393"/>
      <c r="O60" s="1393"/>
      <c r="P60" s="1394"/>
      <c r="Q60" s="1391"/>
      <c r="R60" s="1390"/>
      <c r="S60" s="1390"/>
      <c r="T60" s="571"/>
      <c r="U60" s="358"/>
      <c r="V60" s="358"/>
      <c r="W60" s="358"/>
      <c r="X60" s="358"/>
      <c r="Y60" s="358"/>
      <c r="Z60" s="358"/>
      <c r="AA60" s="358"/>
      <c r="AB60" s="358"/>
      <c r="AC60" s="358"/>
      <c r="AD60" s="358"/>
      <c r="AE60" s="358"/>
      <c r="AF60" s="358"/>
      <c r="AG60" s="358"/>
      <c r="AH60" s="358"/>
      <c r="AI60" s="358"/>
      <c r="AJ60" s="358"/>
      <c r="AK60" s="358"/>
      <c r="AL60" s="358"/>
      <c r="AY60"/>
      <c r="AZ60"/>
      <c r="BA60"/>
      <c r="BB60"/>
      <c r="BC60"/>
      <c r="BD60"/>
      <c r="BE60"/>
      <c r="BF60"/>
      <c r="BG60"/>
      <c r="BH60"/>
      <c r="BI60"/>
      <c r="BJ60"/>
      <c r="BK60"/>
      <c r="BL60"/>
      <c r="BM60"/>
      <c r="BN60"/>
      <c r="BO60"/>
      <c r="BP60"/>
      <c r="BQ60"/>
      <c r="BR60"/>
      <c r="BS60"/>
      <c r="BT60"/>
      <c r="BU60"/>
      <c r="BV60"/>
      <c r="BW60"/>
      <c r="BX60"/>
      <c r="BY60"/>
      <c r="BZ60"/>
      <c r="CA60"/>
      <c r="CB60"/>
      <c r="CC60"/>
      <c r="CD60"/>
    </row>
    <row r="61" spans="1:82" s="5" customFormat="1" ht="19.5" customHeight="1">
      <c r="A61" s="1182" t="s">
        <v>89</v>
      </c>
      <c r="B61" s="1390"/>
      <c r="C61" s="1390"/>
      <c r="D61" s="1392"/>
      <c r="E61" s="1394"/>
      <c r="F61" s="1391" t="s">
        <v>919</v>
      </c>
      <c r="G61" s="1390"/>
      <c r="H61" s="1390"/>
      <c r="I61" s="1392" t="s">
        <v>0</v>
      </c>
      <c r="J61" s="1393"/>
      <c r="K61" s="1393"/>
      <c r="L61" s="1393"/>
      <c r="M61" s="1393"/>
      <c r="N61" s="1393"/>
      <c r="O61" s="1393"/>
      <c r="P61" s="1394"/>
      <c r="Q61" s="1391"/>
      <c r="R61" s="1390"/>
      <c r="S61" s="1390"/>
      <c r="T61" s="571"/>
      <c r="U61" s="385">
        <f>IF(OR(I62="Select One:",I62="Other",ISBLANK(D60)),"",VLOOKUP(I62,Defaults!D17:E32,2,FALSE))</f>
        <v>6</v>
      </c>
      <c r="V61" s="384" t="s">
        <v>776</v>
      </c>
      <c r="W61" s="358"/>
      <c r="X61" s="358"/>
      <c r="Y61" s="358"/>
      <c r="Z61" s="358"/>
      <c r="AA61" s="358"/>
      <c r="AB61" s="358"/>
      <c r="AC61" s="358"/>
      <c r="AD61" s="358"/>
      <c r="AE61" s="358"/>
      <c r="AF61" s="358"/>
      <c r="AG61" s="358"/>
      <c r="AH61" s="358"/>
      <c r="AI61" s="358"/>
      <c r="AJ61" s="358"/>
      <c r="AK61" s="358"/>
      <c r="AL61" s="358"/>
      <c r="AY61"/>
      <c r="AZ61"/>
      <c r="BA61"/>
      <c r="BB61"/>
      <c r="BC61"/>
      <c r="BD61"/>
      <c r="BE61"/>
      <c r="BF61"/>
      <c r="BG61"/>
      <c r="BH61"/>
      <c r="BI61"/>
      <c r="BJ61"/>
      <c r="BK61"/>
      <c r="BL61"/>
      <c r="BM61"/>
      <c r="BN61"/>
      <c r="BO61"/>
      <c r="BP61"/>
      <c r="BQ61"/>
      <c r="BR61"/>
      <c r="BS61"/>
      <c r="BT61"/>
      <c r="BU61"/>
      <c r="BV61"/>
      <c r="BW61"/>
      <c r="BX61"/>
      <c r="BY61"/>
      <c r="BZ61"/>
      <c r="CA61"/>
      <c r="CB61"/>
      <c r="CC61"/>
      <c r="CD61"/>
    </row>
    <row r="62" spans="1:82" s="5" customFormat="1" ht="17.25" customHeight="1">
      <c r="A62" s="1182" t="s">
        <v>90</v>
      </c>
      <c r="B62" s="1390"/>
      <c r="C62" s="1390"/>
      <c r="D62" s="1392"/>
      <c r="E62" s="1394"/>
      <c r="F62" s="1391" t="s">
        <v>552</v>
      </c>
      <c r="G62" s="1390"/>
      <c r="H62" s="1390"/>
      <c r="I62" s="1403" t="s">
        <v>803</v>
      </c>
      <c r="J62" s="1404"/>
      <c r="K62" s="1404"/>
      <c r="L62" s="1404"/>
      <c r="M62" s="1404"/>
      <c r="N62" s="1404"/>
      <c r="O62" s="1404"/>
      <c r="P62" s="1394"/>
      <c r="Q62" s="1391"/>
      <c r="R62" s="1390"/>
      <c r="S62" s="1390"/>
      <c r="T62" s="571"/>
      <c r="U62" s="358"/>
      <c r="V62" s="402" t="s">
        <v>755</v>
      </c>
      <c r="W62" s="403" t="s">
        <v>756</v>
      </c>
      <c r="X62" s="404" t="s">
        <v>758</v>
      </c>
      <c r="Y62" s="358"/>
      <c r="Z62" s="358"/>
      <c r="AA62" s="358"/>
      <c r="AB62" s="358"/>
      <c r="AC62" s="358"/>
      <c r="AD62" s="358"/>
      <c r="AE62" s="358"/>
      <c r="AF62" s="358"/>
      <c r="AG62" s="358"/>
      <c r="AH62" s="358"/>
      <c r="AI62" s="358"/>
      <c r="AJ62" s="358"/>
      <c r="AK62" s="358"/>
      <c r="AL62" s="358"/>
      <c r="AY62"/>
      <c r="AZ62"/>
      <c r="BA62"/>
      <c r="BB62"/>
      <c r="BC62"/>
      <c r="BD62"/>
      <c r="BE62"/>
      <c r="BF62"/>
      <c r="BG62"/>
      <c r="BH62"/>
      <c r="BI62"/>
      <c r="BJ62"/>
      <c r="BK62"/>
      <c r="BL62"/>
      <c r="BM62"/>
      <c r="BN62"/>
      <c r="BO62"/>
      <c r="BP62"/>
      <c r="BQ62"/>
      <c r="BR62"/>
      <c r="BS62"/>
      <c r="BT62"/>
      <c r="BU62"/>
      <c r="BV62"/>
      <c r="BW62"/>
      <c r="BX62"/>
      <c r="BY62"/>
      <c r="BZ62"/>
      <c r="CA62"/>
      <c r="CB62"/>
      <c r="CC62"/>
      <c r="CD62"/>
    </row>
    <row r="63" spans="1:82" s="5" customFormat="1" ht="20.25" customHeight="1" thickBot="1">
      <c r="A63" s="1197" t="s">
        <v>119</v>
      </c>
      <c r="B63" s="1405"/>
      <c r="C63" s="1405"/>
      <c r="D63" s="1199"/>
      <c r="E63" s="1402"/>
      <c r="F63" s="1201" t="s">
        <v>735</v>
      </c>
      <c r="G63" s="1202"/>
      <c r="H63" s="1203"/>
      <c r="I63" s="1199"/>
      <c r="J63" s="1401"/>
      <c r="K63" s="1401"/>
      <c r="L63" s="1401"/>
      <c r="M63" s="1401"/>
      <c r="N63" s="1401"/>
      <c r="O63" s="1401"/>
      <c r="P63" s="1402"/>
      <c r="Q63" s="522"/>
      <c r="R63" s="522"/>
      <c r="S63" s="529"/>
      <c r="T63" s="571"/>
      <c r="U63" s="358"/>
      <c r="V63" s="358"/>
      <c r="W63" s="405" t="s">
        <v>691</v>
      </c>
      <c r="X63" s="364" t="s">
        <v>692</v>
      </c>
      <c r="Y63" s="406" t="s">
        <v>701</v>
      </c>
      <c r="Z63" s="407" t="str">
        <f>IF(ISBLANK('Citrix or Terminal Server Info'!H20),"",IF(OR('Citrix or Terminal Server Info'!W33,'Citrix or Terminal Server Info'!W34),"Yes","No"))</f>
        <v/>
      </c>
      <c r="AA63" s="358"/>
      <c r="AB63" s="358"/>
      <c r="AC63" s="358"/>
      <c r="AD63" s="358"/>
      <c r="AE63" s="358"/>
      <c r="AF63" s="358"/>
      <c r="AG63" s="358"/>
      <c r="AH63" s="358"/>
      <c r="AI63" s="358"/>
      <c r="AJ63" s="358"/>
      <c r="AK63" s="358"/>
      <c r="AL63" s="358"/>
      <c r="AY63"/>
      <c r="AZ63"/>
      <c r="BA63"/>
      <c r="BB63"/>
      <c r="BC63"/>
      <c r="BD63"/>
      <c r="BE63"/>
      <c r="BF63"/>
      <c r="BG63"/>
      <c r="BH63"/>
      <c r="BI63"/>
      <c r="BJ63"/>
      <c r="BK63"/>
      <c r="BL63"/>
      <c r="BM63"/>
      <c r="BN63"/>
      <c r="BO63"/>
      <c r="BP63"/>
      <c r="BQ63"/>
      <c r="BR63"/>
      <c r="BS63"/>
      <c r="BT63"/>
      <c r="BU63"/>
      <c r="BV63"/>
      <c r="BW63"/>
      <c r="BX63"/>
      <c r="BY63"/>
      <c r="BZ63"/>
      <c r="CA63"/>
      <c r="CB63"/>
      <c r="CC63"/>
      <c r="CD63"/>
    </row>
    <row r="64" spans="1:82" s="5" customFormat="1" ht="19.5" customHeight="1" thickTop="1">
      <c r="A64" s="530" t="s">
        <v>37</v>
      </c>
      <c r="B64" s="572" t="str">
        <f>IF(OR(ISBLANK(D59),ISBLANK(D60),ISBLANK(I59)),"",IF(I61="Yes",IF(I59&gt;(2*D59*D60-1),"Yes","No"),IF(I59&gt;(D59*D60-1),"Yes","No")))</f>
        <v/>
      </c>
      <c r="C64" s="1406" t="str">
        <f>IF(B64="Yes","WARNING: CONFIGURATION ISSUES - Number of virtual CPUs configured exceed the number of available physical(logical) cores within the host! Reduce number of VMs on host.","")</f>
        <v/>
      </c>
      <c r="D64" s="1407"/>
      <c r="E64" s="1407"/>
      <c r="F64" s="1407"/>
      <c r="G64" s="1407"/>
      <c r="H64" s="1407"/>
      <c r="I64" s="1407"/>
      <c r="J64" s="1407"/>
      <c r="K64" s="1407"/>
      <c r="L64" s="1407"/>
      <c r="M64" s="1407"/>
      <c r="N64" s="1407"/>
      <c r="O64" s="1407"/>
      <c r="P64" s="1407"/>
      <c r="Q64" s="1407"/>
      <c r="R64" s="1407"/>
      <c r="S64" s="1407"/>
      <c r="T64" s="1408"/>
      <c r="U64" s="358"/>
      <c r="V64" s="358"/>
      <c r="W64" s="408"/>
      <c r="X64" s="367" t="s">
        <v>51</v>
      </c>
      <c r="Y64" s="406"/>
      <c r="Z64" s="407"/>
      <c r="AA64" s="358"/>
      <c r="AB64" s="358"/>
      <c r="AC64" s="358"/>
      <c r="AD64" s="358"/>
      <c r="AE64" s="358"/>
      <c r="AF64" s="358"/>
      <c r="AG64" s="358"/>
      <c r="AH64" s="358"/>
      <c r="AI64" s="358"/>
      <c r="AJ64" s="358"/>
      <c r="AK64" s="358"/>
      <c r="AL64" s="358"/>
      <c r="AY64"/>
      <c r="AZ64"/>
      <c r="BA64"/>
      <c r="BB64"/>
      <c r="BC64"/>
      <c r="BD64"/>
      <c r="BE64"/>
      <c r="BF64"/>
      <c r="BG64"/>
      <c r="BH64"/>
      <c r="BI64"/>
      <c r="BJ64"/>
      <c r="BK64"/>
      <c r="BL64"/>
      <c r="BM64"/>
      <c r="BN64"/>
      <c r="BO64"/>
      <c r="BP64"/>
      <c r="BQ64"/>
      <c r="BR64"/>
      <c r="BS64"/>
      <c r="BT64"/>
      <c r="BU64"/>
      <c r="BV64"/>
      <c r="BW64"/>
      <c r="BX64"/>
      <c r="BY64"/>
      <c r="BZ64"/>
      <c r="CA64"/>
      <c r="CB64"/>
      <c r="CC64"/>
      <c r="CD64"/>
    </row>
    <row r="65" spans="1:50" ht="19.5" customHeight="1" thickBot="1">
      <c r="A65" s="533" t="s">
        <v>38</v>
      </c>
      <c r="B65" s="575" t="str">
        <f>IF(OR(ISBLANK(D61),ISBLANK(I60)),"",IF(I60&gt;D61-4,"Yes","No"))</f>
        <v/>
      </c>
      <c r="C65" s="1415" t="str">
        <f>IF(B65="Yes","WARNING: CONFIGURATION ISSUES - Amount of virtual RAM configured exceeds the amount of available physical RAM within the host! Reduce number of VMs on host.","")</f>
        <v/>
      </c>
      <c r="D65" s="1416"/>
      <c r="E65" s="1416"/>
      <c r="F65" s="1416"/>
      <c r="G65" s="1416"/>
      <c r="H65" s="1416"/>
      <c r="I65" s="1416"/>
      <c r="J65" s="1416"/>
      <c r="K65" s="1416"/>
      <c r="L65" s="1416"/>
      <c r="M65" s="1416"/>
      <c r="N65" s="1416"/>
      <c r="O65" s="1416"/>
      <c r="P65" s="1416"/>
      <c r="Q65" s="1416"/>
      <c r="R65" s="1416"/>
      <c r="S65" s="1416"/>
      <c r="T65" s="1417"/>
      <c r="W65" s="366"/>
      <c r="X65" s="370" t="s">
        <v>0</v>
      </c>
      <c r="AW65" s="5"/>
      <c r="AX65" s="5"/>
    </row>
    <row r="66" spans="1:50" ht="15.75">
      <c r="A66" s="276" t="s">
        <v>754</v>
      </c>
      <c r="B66" s="534"/>
      <c r="C66" s="534"/>
      <c r="D66" s="534"/>
      <c r="E66" s="534"/>
      <c r="F66" s="534"/>
      <c r="G66" s="534"/>
      <c r="H66" s="534"/>
      <c r="I66" s="534"/>
      <c r="J66" s="534"/>
      <c r="K66" s="534"/>
      <c r="L66" s="534"/>
      <c r="M66" s="534"/>
      <c r="N66" s="534"/>
      <c r="O66" s="534"/>
      <c r="P66" s="534"/>
      <c r="Q66" s="534"/>
      <c r="R66" s="534"/>
      <c r="S66" s="534"/>
      <c r="T66" s="535"/>
      <c r="W66" s="369"/>
      <c r="AW66" s="5"/>
      <c r="AX66" s="5"/>
    </row>
    <row r="67" spans="1:50" ht="48.75" customHeight="1">
      <c r="A67" s="1412" t="s">
        <v>759</v>
      </c>
      <c r="B67" s="1413"/>
      <c r="C67" s="1413"/>
      <c r="D67" s="1413"/>
      <c r="E67" s="1413"/>
      <c r="F67" s="1413"/>
      <c r="G67" s="1413"/>
      <c r="H67" s="1413"/>
      <c r="I67" s="1413"/>
      <c r="J67" s="1414"/>
      <c r="K67" s="1414"/>
      <c r="L67" s="1414"/>
      <c r="M67" s="1414"/>
      <c r="N67" s="1414"/>
      <c r="O67" s="1414"/>
      <c r="P67" s="1413"/>
      <c r="Q67" s="1413"/>
      <c r="R67" s="536" t="s">
        <v>755</v>
      </c>
      <c r="S67" s="536" t="s">
        <v>756</v>
      </c>
      <c r="T67" s="537" t="s">
        <v>758</v>
      </c>
      <c r="AW67" s="5"/>
      <c r="AX67" s="5"/>
    </row>
    <row r="68" spans="1:50" ht="19.5" customHeight="1" thickBot="1">
      <c r="A68" s="538" t="s">
        <v>757</v>
      </c>
      <c r="B68" s="539"/>
      <c r="C68" s="539"/>
      <c r="D68" s="539"/>
      <c r="E68" s="539"/>
      <c r="F68" s="539"/>
      <c r="G68" s="539"/>
      <c r="H68" s="539"/>
      <c r="I68" s="539"/>
      <c r="J68" s="613"/>
      <c r="K68" s="613"/>
      <c r="L68" s="613"/>
      <c r="M68" s="613"/>
      <c r="N68" s="613"/>
      <c r="O68" s="613"/>
      <c r="P68" s="539"/>
      <c r="Q68" s="539"/>
      <c r="R68" s="279"/>
      <c r="S68" s="279"/>
      <c r="T68" s="540"/>
      <c r="AW68" s="5"/>
      <c r="AX68" s="5"/>
    </row>
    <row r="69" spans="1:50" ht="24" customHeight="1" thickBot="1">
      <c r="A69" s="541" t="s">
        <v>762</v>
      </c>
      <c r="B69" s="527"/>
      <c r="C69" s="527"/>
      <c r="D69" s="527"/>
      <c r="E69" s="527"/>
      <c r="F69" s="527"/>
      <c r="G69" s="527"/>
      <c r="H69" s="527"/>
      <c r="I69" s="527"/>
      <c r="J69" s="527"/>
      <c r="K69" s="527"/>
      <c r="L69" s="527"/>
      <c r="M69" s="527"/>
      <c r="N69" s="527"/>
      <c r="O69" s="527"/>
      <c r="P69" s="527"/>
      <c r="Q69" s="527"/>
      <c r="R69" s="527"/>
      <c r="S69" s="527"/>
      <c r="T69" s="528"/>
      <c r="AA69" s="409"/>
      <c r="AB69" s="410" t="s">
        <v>571</v>
      </c>
      <c r="AC69" s="410"/>
      <c r="AD69" s="410"/>
      <c r="AE69" s="411"/>
      <c r="AF69" s="409"/>
      <c r="AG69" s="410" t="s">
        <v>572</v>
      </c>
      <c r="AH69" s="449"/>
      <c r="AI69" s="409"/>
      <c r="AJ69" s="410" t="s">
        <v>573</v>
      </c>
      <c r="AK69" s="411"/>
      <c r="AL69" s="450" t="s">
        <v>574</v>
      </c>
      <c r="AW69" s="5"/>
      <c r="AX69" s="5"/>
    </row>
    <row r="70" spans="1:50" ht="57.4" thickBot="1">
      <c r="A70" s="5"/>
      <c r="B70" s="5"/>
      <c r="C70" s="5"/>
      <c r="D70" s="5"/>
      <c r="E70" s="5"/>
      <c r="F70" s="5"/>
      <c r="G70" s="5"/>
      <c r="H70" s="5"/>
      <c r="I70" s="5"/>
      <c r="J70" s="5"/>
      <c r="K70" s="5"/>
      <c r="L70" s="5"/>
      <c r="M70" s="5"/>
      <c r="N70" s="5"/>
      <c r="O70" s="5"/>
      <c r="P70" s="5"/>
      <c r="Q70" s="5"/>
      <c r="R70" s="5"/>
      <c r="S70" s="5"/>
      <c r="T70" s="5"/>
      <c r="U70" s="412" t="s">
        <v>630</v>
      </c>
      <c r="V70" s="413" t="s">
        <v>575</v>
      </c>
      <c r="W70" s="414" t="s">
        <v>576</v>
      </c>
      <c r="X70" s="415" t="s">
        <v>641</v>
      </c>
      <c r="Y70" s="412" t="s">
        <v>577</v>
      </c>
      <c r="Z70" s="415" t="s">
        <v>642</v>
      </c>
      <c r="AA70" s="414" t="s">
        <v>578</v>
      </c>
      <c r="AB70" s="416" t="s">
        <v>579</v>
      </c>
      <c r="AC70" s="416" t="s">
        <v>580</v>
      </c>
      <c r="AD70" s="416" t="s">
        <v>581</v>
      </c>
      <c r="AE70" s="412" t="s">
        <v>582</v>
      </c>
      <c r="AF70" s="414" t="s">
        <v>583</v>
      </c>
      <c r="AG70" s="416" t="s">
        <v>584</v>
      </c>
      <c r="AH70" s="412" t="s">
        <v>585</v>
      </c>
      <c r="AI70" s="414" t="s">
        <v>586</v>
      </c>
      <c r="AJ70" s="416" t="s">
        <v>587</v>
      </c>
      <c r="AK70" s="412" t="s">
        <v>588</v>
      </c>
      <c r="AL70" s="413" t="s">
        <v>589</v>
      </c>
    </row>
    <row r="71" spans="1:50" ht="23.25">
      <c r="A71" s="306"/>
      <c r="B71" s="5"/>
      <c r="C71" s="5"/>
      <c r="D71" s="5"/>
      <c r="E71" s="5"/>
      <c r="F71" s="5"/>
      <c r="G71" s="5"/>
      <c r="H71" s="5"/>
      <c r="I71" s="5"/>
      <c r="J71" s="5"/>
      <c r="K71" s="5"/>
      <c r="L71" s="5"/>
      <c r="M71" s="5"/>
      <c r="N71" s="5"/>
      <c r="O71" s="5"/>
      <c r="P71" s="5"/>
      <c r="Q71" s="5"/>
      <c r="R71" s="5"/>
      <c r="S71" s="5"/>
      <c r="T71" s="5"/>
      <c r="U71" s="417">
        <v>3</v>
      </c>
      <c r="V71" s="417">
        <v>0</v>
      </c>
      <c r="W71" s="418">
        <v>1.7</v>
      </c>
      <c r="X71" s="419"/>
      <c r="Y71" s="420">
        <v>200</v>
      </c>
      <c r="Z71" s="419"/>
      <c r="AA71" s="418" t="s">
        <v>590</v>
      </c>
      <c r="AB71" s="421" t="s">
        <v>590</v>
      </c>
      <c r="AC71" s="421" t="s">
        <v>590</v>
      </c>
      <c r="AD71" s="421">
        <v>128</v>
      </c>
      <c r="AE71" s="420">
        <v>60</v>
      </c>
      <c r="AF71" s="422"/>
      <c r="AG71" s="423">
        <v>300</v>
      </c>
      <c r="AH71" s="426" t="s">
        <v>591</v>
      </c>
      <c r="AI71" s="418">
        <v>1000</v>
      </c>
      <c r="AJ71" s="421">
        <v>60000</v>
      </c>
      <c r="AK71" s="420">
        <v>100</v>
      </c>
      <c r="AL71" s="417">
        <v>10</v>
      </c>
    </row>
    <row r="72" spans="1:50" ht="18">
      <c r="A72" s="323"/>
      <c r="B72" s="5"/>
      <c r="C72" s="5"/>
      <c r="D72" s="5"/>
      <c r="E72" s="5"/>
      <c r="F72" s="5"/>
      <c r="G72" s="5"/>
      <c r="H72" s="5"/>
      <c r="I72" s="5"/>
      <c r="J72" s="5"/>
      <c r="K72" s="5"/>
      <c r="L72" s="5"/>
      <c r="M72" s="5"/>
      <c r="N72" s="5"/>
      <c r="O72" s="5"/>
      <c r="P72" s="5"/>
      <c r="Q72" s="5"/>
      <c r="R72" s="5"/>
      <c r="S72" s="5"/>
      <c r="T72" s="5"/>
      <c r="U72" s="424">
        <v>5</v>
      </c>
      <c r="V72" s="424">
        <v>0</v>
      </c>
      <c r="W72" s="422">
        <v>3</v>
      </c>
      <c r="X72" s="425">
        <f>(W72-W71)/($U72-$U71)*1024</f>
        <v>665.6</v>
      </c>
      <c r="Y72" s="426">
        <v>272</v>
      </c>
      <c r="Z72" s="425">
        <f>(Y72-Y71)/($U72-$U71)</f>
        <v>36</v>
      </c>
      <c r="AA72" s="422" t="s">
        <v>590</v>
      </c>
      <c r="AB72" s="423" t="s">
        <v>590</v>
      </c>
      <c r="AC72" s="423" t="s">
        <v>590</v>
      </c>
      <c r="AD72" s="423">
        <v>128</v>
      </c>
      <c r="AE72" s="426">
        <v>60</v>
      </c>
      <c r="AF72" s="422"/>
      <c r="AG72" s="423">
        <v>300</v>
      </c>
      <c r="AH72" s="426" t="s">
        <v>591</v>
      </c>
      <c r="AI72" s="422"/>
      <c r="AJ72" s="423">
        <v>60000</v>
      </c>
      <c r="AK72" s="426">
        <v>200</v>
      </c>
      <c r="AL72" s="424"/>
    </row>
    <row r="73" spans="1:50" ht="18">
      <c r="A73" s="323"/>
      <c r="B73" s="5"/>
      <c r="C73" s="5"/>
      <c r="D73" s="5"/>
      <c r="E73" s="5"/>
      <c r="F73" s="5"/>
      <c r="G73" s="5"/>
      <c r="H73" s="5"/>
      <c r="I73" s="5"/>
      <c r="J73" s="5"/>
      <c r="K73" s="5"/>
      <c r="L73" s="5"/>
      <c r="M73" s="5"/>
      <c r="N73" s="5"/>
      <c r="O73" s="5"/>
      <c r="P73" s="5"/>
      <c r="Q73" s="5"/>
      <c r="R73" s="5"/>
      <c r="S73" s="5"/>
      <c r="T73" s="5"/>
      <c r="U73" s="424">
        <v>5</v>
      </c>
      <c r="V73" s="424">
        <v>2000</v>
      </c>
      <c r="W73" s="422">
        <v>5</v>
      </c>
      <c r="X73" s="425">
        <f>(W73-W72)/($V73-$V72)*1024</f>
        <v>1.024</v>
      </c>
      <c r="Y73" s="426">
        <v>300</v>
      </c>
      <c r="Z73" s="425">
        <f>(Y73-Y72)/($V73-$V72)</f>
        <v>1.4E-2</v>
      </c>
      <c r="AA73" s="422" t="s">
        <v>592</v>
      </c>
      <c r="AB73" s="423" t="s">
        <v>592</v>
      </c>
      <c r="AC73" s="423" t="s">
        <v>593</v>
      </c>
      <c r="AD73" s="423">
        <v>128</v>
      </c>
      <c r="AE73" s="426">
        <v>60</v>
      </c>
      <c r="AF73" s="422">
        <v>250</v>
      </c>
      <c r="AG73" s="423">
        <v>500</v>
      </c>
      <c r="AH73" s="426" t="s">
        <v>591</v>
      </c>
      <c r="AI73" s="422"/>
      <c r="AJ73" s="423">
        <v>60000</v>
      </c>
      <c r="AK73" s="426">
        <v>300</v>
      </c>
      <c r="AL73" s="424"/>
    </row>
    <row r="74" spans="1:50">
      <c r="A74" s="5"/>
      <c r="B74" s="5"/>
      <c r="C74" s="5"/>
      <c r="D74" s="5"/>
      <c r="E74" s="5"/>
      <c r="F74" s="5"/>
      <c r="G74" s="5"/>
      <c r="H74" s="5"/>
      <c r="I74" s="5"/>
      <c r="J74" s="5"/>
      <c r="K74" s="5"/>
      <c r="L74" s="5"/>
      <c r="M74" s="5"/>
      <c r="N74" s="5"/>
      <c r="O74" s="5"/>
      <c r="P74" s="5"/>
      <c r="Q74" s="5"/>
      <c r="R74" s="5"/>
      <c r="S74" s="5"/>
      <c r="T74" s="5"/>
      <c r="U74" s="424">
        <v>30</v>
      </c>
      <c r="V74" s="424">
        <v>2000</v>
      </c>
      <c r="W74" s="422">
        <v>15</v>
      </c>
      <c r="X74" s="425">
        <f>(W74-W73)/($U74-$U73)*1024</f>
        <v>409.6</v>
      </c>
      <c r="Y74" s="426">
        <v>2048</v>
      </c>
      <c r="Z74" s="425">
        <f>(Y74-Y73)/($U74-$U73)</f>
        <v>69.92</v>
      </c>
      <c r="AA74" s="422" t="s">
        <v>595</v>
      </c>
      <c r="AB74" s="423" t="s">
        <v>595</v>
      </c>
      <c r="AC74" s="423" t="s">
        <v>594</v>
      </c>
      <c r="AD74" s="423">
        <v>128</v>
      </c>
      <c r="AE74" s="426">
        <v>60</v>
      </c>
      <c r="AF74" s="422"/>
      <c r="AG74" s="423">
        <v>500</v>
      </c>
      <c r="AH74" s="426" t="s">
        <v>591</v>
      </c>
      <c r="AI74" s="422"/>
      <c r="AJ74" s="423">
        <v>60000</v>
      </c>
      <c r="AK74" s="426">
        <v>300</v>
      </c>
      <c r="AL74" s="424"/>
    </row>
    <row r="75" spans="1:50" ht="14.65" thickBot="1">
      <c r="A75" s="5"/>
      <c r="B75" s="5"/>
      <c r="C75" s="5"/>
      <c r="D75" s="5"/>
      <c r="E75" s="5"/>
      <c r="F75" s="5"/>
      <c r="G75" s="5"/>
      <c r="H75" s="5"/>
      <c r="I75" s="5"/>
      <c r="J75" s="5"/>
      <c r="K75" s="5"/>
      <c r="L75" s="5"/>
      <c r="M75" s="5"/>
      <c r="N75" s="5"/>
      <c r="O75" s="5"/>
      <c r="P75" s="5"/>
      <c r="Q75" s="5"/>
      <c r="R75" s="5"/>
      <c r="S75" s="5"/>
      <c r="T75" s="5"/>
      <c r="U75" s="427">
        <v>60</v>
      </c>
      <c r="V75" s="427">
        <v>2000</v>
      </c>
      <c r="W75" s="428">
        <v>37.9</v>
      </c>
      <c r="X75" s="429">
        <f>(W75-W74)/($U75-$U74)*1024</f>
        <v>781.65333333333331</v>
      </c>
      <c r="Y75" s="430">
        <f>2415104/1024</f>
        <v>2358.5</v>
      </c>
      <c r="Z75" s="429">
        <f>(Y75-Y74)/($U75-$U74)</f>
        <v>10.35</v>
      </c>
      <c r="AA75" s="428" t="s">
        <v>595</v>
      </c>
      <c r="AB75" s="431" t="s">
        <v>595</v>
      </c>
      <c r="AC75" s="431" t="s">
        <v>594</v>
      </c>
      <c r="AD75" s="431">
        <v>128</v>
      </c>
      <c r="AE75" s="432">
        <v>60</v>
      </c>
      <c r="AF75" s="428"/>
      <c r="AG75" s="431">
        <v>500</v>
      </c>
      <c r="AH75" s="432">
        <v>8000</v>
      </c>
      <c r="AI75" s="428">
        <v>3000</v>
      </c>
      <c r="AJ75" s="431">
        <v>60000</v>
      </c>
      <c r="AK75" s="432">
        <v>300</v>
      </c>
      <c r="AL75" s="427">
        <v>20</v>
      </c>
    </row>
    <row r="76" spans="1:50">
      <c r="A76" s="5"/>
      <c r="B76" s="5"/>
      <c r="C76" s="5"/>
      <c r="D76" s="5"/>
      <c r="E76" s="5"/>
      <c r="F76" s="5"/>
      <c r="G76" s="5"/>
      <c r="H76" s="5"/>
      <c r="I76" s="5"/>
      <c r="J76" s="5"/>
      <c r="K76" s="5"/>
      <c r="L76" s="5"/>
      <c r="M76" s="5"/>
      <c r="N76" s="5"/>
      <c r="O76" s="5"/>
      <c r="P76" s="5"/>
      <c r="Q76" s="5"/>
      <c r="R76" s="5"/>
      <c r="S76" s="5"/>
      <c r="T76" s="5"/>
      <c r="U76" s="433">
        <f>IF(LEFT(Z45,3)="Yes",AA44,IF(LEFT(Z45,2)="No",AA45,0))*AE42</f>
        <v>0</v>
      </c>
      <c r="V76" s="433">
        <f>IF(LEFT(Z45,3)="Yes",AE45*AF41,IF(LEFT(Z45,2)="No",AE46*AF41,0))</f>
        <v>0</v>
      </c>
      <c r="W76" s="358">
        <f>W73*1024</f>
        <v>5120</v>
      </c>
      <c r="X76" s="434">
        <f>AF41*((V76*X73)+(U76*AVERAGE(X72,X74,X75)))</f>
        <v>0</v>
      </c>
      <c r="Z76" s="434">
        <f>MAX(Y73,(V76*Z73)+(U76*AVERAGE(Z72,Z74,Z75)))</f>
        <v>300</v>
      </c>
      <c r="AA76" s="435">
        <f>MAX(1024,CEILING(X76,1024))</f>
        <v>1024</v>
      </c>
      <c r="AB76" s="435">
        <f>MAX(4096,CEILING(X76,4096))</f>
        <v>4096</v>
      </c>
      <c r="AC76" s="435">
        <f>CEILING(Z76,512)</f>
        <v>512</v>
      </c>
      <c r="AD76" s="435">
        <f>IF(U76&lt;30,AD73,AD75)</f>
        <v>128</v>
      </c>
      <c r="AE76" s="435">
        <f>IF(U76&lt;31,AE73,AE75)</f>
        <v>60</v>
      </c>
      <c r="AH76" s="435" t="str">
        <f>IF(U76&lt;31,AH73,AH75)</f>
        <v>n/a</v>
      </c>
      <c r="AI76" s="435">
        <f>IF(U76&lt;31,AI71,AI75)</f>
        <v>1000</v>
      </c>
      <c r="AJ76" s="435">
        <f>IF(U76&lt;31,AJ71,AJ75)</f>
        <v>60000</v>
      </c>
      <c r="AK76" s="435">
        <f>IF(U76&lt;31,AK71,AK75)</f>
        <v>100</v>
      </c>
      <c r="AL76" s="435">
        <f>IF(U76&lt;31,AL71,AL75)</f>
        <v>10</v>
      </c>
    </row>
    <row r="77" spans="1:50">
      <c r="A77" s="5"/>
      <c r="B77" s="5"/>
      <c r="C77" s="5"/>
      <c r="D77" s="5"/>
      <c r="E77" s="5"/>
      <c r="F77" s="5"/>
      <c r="G77" s="5"/>
      <c r="H77" s="5"/>
      <c r="I77" s="5"/>
      <c r="J77" s="5"/>
      <c r="K77" s="5"/>
      <c r="L77" s="5"/>
      <c r="M77" s="5"/>
      <c r="N77" s="5"/>
      <c r="O77" s="5"/>
      <c r="P77" s="5"/>
      <c r="Q77" s="5"/>
      <c r="R77" s="5"/>
      <c r="S77" s="5"/>
      <c r="T77" s="5"/>
      <c r="X77" s="358">
        <f>U76*AK89</f>
        <v>0</v>
      </c>
      <c r="Y77" s="406" t="s">
        <v>596</v>
      </c>
      <c r="Z77" s="436">
        <f>1024*(W73-W72)/V73</f>
        <v>1.024</v>
      </c>
      <c r="AA77" s="423" t="s">
        <v>597</v>
      </c>
      <c r="AB77" s="358">
        <f>V76*Z77</f>
        <v>0</v>
      </c>
      <c r="AC77" s="358" t="s">
        <v>639</v>
      </c>
    </row>
    <row r="78" spans="1:50">
      <c r="A78" s="5"/>
      <c r="B78" s="5"/>
      <c r="C78" s="5"/>
      <c r="D78" s="5"/>
      <c r="E78" s="5"/>
      <c r="F78" s="5"/>
      <c r="G78" s="5"/>
      <c r="H78" s="5"/>
      <c r="I78" s="5"/>
      <c r="J78" s="5"/>
      <c r="K78" s="5"/>
      <c r="L78" s="5"/>
      <c r="M78" s="5"/>
      <c r="N78" s="5"/>
      <c r="O78" s="5"/>
      <c r="P78" s="5"/>
      <c r="Q78" s="5"/>
      <c r="R78" s="5"/>
      <c r="S78" s="5"/>
      <c r="T78" s="5"/>
      <c r="Y78" s="406" t="s">
        <v>598</v>
      </c>
      <c r="Z78" s="436">
        <f>1024*(W75-W74)/(U75-U74)</f>
        <v>781.65333333333331</v>
      </c>
      <c r="AA78" s="423" t="s">
        <v>597</v>
      </c>
      <c r="AB78" s="358">
        <f>IF(U76&lt;31,U76*AD78,U76*Z78)</f>
        <v>0</v>
      </c>
      <c r="AC78" s="423" t="s">
        <v>640</v>
      </c>
      <c r="AD78" s="358">
        <f>(W74-W73)/(U74-U73)*1024</f>
        <v>409.6</v>
      </c>
    </row>
    <row r="79" spans="1:50">
      <c r="A79" s="5"/>
      <c r="B79" s="5"/>
      <c r="C79" s="5"/>
      <c r="D79" s="5"/>
      <c r="E79" s="5"/>
      <c r="F79" s="5"/>
      <c r="G79" s="5"/>
      <c r="H79" s="5"/>
      <c r="I79" s="5"/>
      <c r="J79" s="5"/>
      <c r="K79" s="5"/>
      <c r="L79" s="5"/>
      <c r="M79" s="5"/>
      <c r="N79" s="5"/>
      <c r="O79" s="5"/>
      <c r="P79" s="5"/>
      <c r="Q79" s="5"/>
      <c r="R79" s="5"/>
      <c r="S79" s="5"/>
      <c r="T79" s="5"/>
      <c r="Y79" s="406" t="s">
        <v>638</v>
      </c>
      <c r="Z79" s="436">
        <v>1.25</v>
      </c>
      <c r="AA79" s="358">
        <f>(Y75-Y74)/30</f>
        <v>10.35</v>
      </c>
    </row>
    <row r="80" spans="1:50" ht="20.25">
      <c r="U80" s="437" t="s">
        <v>631</v>
      </c>
      <c r="V80" s="437" t="s">
        <v>599</v>
      </c>
      <c r="W80" s="437" t="s">
        <v>600</v>
      </c>
      <c r="X80" s="437" t="s">
        <v>33</v>
      </c>
      <c r="AB80" s="358" t="s">
        <v>601</v>
      </c>
      <c r="AC80" s="358" t="s">
        <v>602</v>
      </c>
    </row>
    <row r="81" spans="21:38" ht="66">
      <c r="U81" s="438" t="s">
        <v>632</v>
      </c>
      <c r="V81" s="438" t="s">
        <v>603</v>
      </c>
      <c r="W81" s="438" t="s">
        <v>604</v>
      </c>
      <c r="X81" s="438">
        <v>56</v>
      </c>
      <c r="Z81" s="439" t="s">
        <v>605</v>
      </c>
      <c r="AA81" s="439" t="s">
        <v>606</v>
      </c>
      <c r="AB81" s="440">
        <v>2.66</v>
      </c>
      <c r="AC81" s="440">
        <v>72</v>
      </c>
      <c r="AD81" s="441" t="s">
        <v>607</v>
      </c>
      <c r="AE81" s="439" t="s">
        <v>608</v>
      </c>
      <c r="AF81" s="442" t="s">
        <v>609</v>
      </c>
      <c r="AG81" s="442" t="s">
        <v>610</v>
      </c>
      <c r="AH81" s="442" t="s">
        <v>611</v>
      </c>
      <c r="AI81" s="442" t="s">
        <v>612</v>
      </c>
      <c r="AJ81" s="442" t="s">
        <v>613</v>
      </c>
      <c r="AK81" s="442" t="s">
        <v>614</v>
      </c>
      <c r="AL81" s="442" t="s">
        <v>615</v>
      </c>
    </row>
    <row r="82" spans="21:38" ht="14.65" thickBot="1">
      <c r="AF82" s="358" t="s">
        <v>616</v>
      </c>
      <c r="AG82" s="358">
        <v>72270214296</v>
      </c>
      <c r="AH82" s="436">
        <f>AG82/1024/1024</f>
        <v>68922.247215270996</v>
      </c>
      <c r="AI82" s="436">
        <f>AG82/1024/1024/1024</f>
        <v>67.306882046163082</v>
      </c>
      <c r="AJ82" s="436">
        <f>72*1024-AH82</f>
        <v>4805.7527847290039</v>
      </c>
      <c r="AK82" s="436"/>
    </row>
    <row r="83" spans="21:38" ht="30.75" thickBot="1">
      <c r="U83" s="443" t="s">
        <v>633</v>
      </c>
      <c r="V83" s="444" t="s">
        <v>617</v>
      </c>
      <c r="W83" s="444" t="s">
        <v>618</v>
      </c>
      <c r="Y83" s="358" t="s">
        <v>653</v>
      </c>
      <c r="AF83" s="358" t="s">
        <v>619</v>
      </c>
      <c r="AG83" s="358">
        <v>70509820535</v>
      </c>
      <c r="AH83" s="436">
        <f t="shared" ref="AH83:AH88" si="0">AG83/1024/1024</f>
        <v>67243.404898643494</v>
      </c>
      <c r="AI83" s="436">
        <f t="shared" ref="AI83:AI88" si="1">AG83/1024/1024/1024</f>
        <v>65.667387596331537</v>
      </c>
      <c r="AJ83" s="436">
        <f t="shared" ref="AJ83:AJ88" si="2">72*1024-AH83</f>
        <v>6484.5951013565063</v>
      </c>
      <c r="AK83" s="451">
        <f t="shared" ref="AK83:AK88" si="3">AJ83-AJ82</f>
        <v>1678.8423166275024</v>
      </c>
      <c r="AL83" s="436">
        <f>AK83/1024</f>
        <v>1.6394944498315454</v>
      </c>
    </row>
    <row r="84" spans="21:38" ht="30.75" thickBot="1">
      <c r="U84" s="445" t="s">
        <v>634</v>
      </c>
      <c r="V84" s="446" t="s">
        <v>620</v>
      </c>
      <c r="W84" s="446" t="s">
        <v>621</v>
      </c>
      <c r="Y84" s="447" t="s">
        <v>654</v>
      </c>
      <c r="AF84" s="358" t="s">
        <v>622</v>
      </c>
      <c r="AG84" s="358">
        <v>69985821848</v>
      </c>
      <c r="AH84" s="436">
        <f t="shared" si="0"/>
        <v>66743.680809020996</v>
      </c>
      <c r="AI84" s="436">
        <f t="shared" si="1"/>
        <v>65.179375790059566</v>
      </c>
      <c r="AJ84" s="436">
        <f t="shared" si="2"/>
        <v>6984.3191909790039</v>
      </c>
      <c r="AK84" s="436">
        <f t="shared" si="3"/>
        <v>499.72408962249756</v>
      </c>
      <c r="AL84" s="436">
        <f t="shared" ref="AL84:AL89" si="4">AK84/1024</f>
        <v>0.48801180627197027</v>
      </c>
    </row>
    <row r="85" spans="21:38" ht="30.75" thickBot="1">
      <c r="U85" s="445" t="s">
        <v>635</v>
      </c>
      <c r="V85" s="448">
        <v>0.26</v>
      </c>
      <c r="W85" s="448" t="s">
        <v>623</v>
      </c>
      <c r="AF85" s="358" t="s">
        <v>624</v>
      </c>
      <c r="AG85" s="358">
        <v>69606113285</v>
      </c>
      <c r="AH85" s="436">
        <f t="shared" si="0"/>
        <v>66381.562504768372</v>
      </c>
      <c r="AI85" s="436">
        <f t="shared" si="1"/>
        <v>64.825744633562863</v>
      </c>
      <c r="AJ85" s="436">
        <f t="shared" si="2"/>
        <v>7346.4374952316284</v>
      </c>
      <c r="AK85" s="436">
        <f t="shared" si="3"/>
        <v>362.11830425262451</v>
      </c>
      <c r="AL85" s="436">
        <f t="shared" si="4"/>
        <v>0.35363115649670362</v>
      </c>
    </row>
    <row r="86" spans="21:38" ht="30.75" thickBot="1">
      <c r="U86" s="445" t="s">
        <v>636</v>
      </c>
      <c r="V86" s="446" t="s">
        <v>625</v>
      </c>
      <c r="W86" s="446"/>
      <c r="AF86" s="358" t="s">
        <v>626</v>
      </c>
      <c r="AG86" s="358">
        <v>69193092815</v>
      </c>
      <c r="AH86" s="436">
        <f t="shared" si="0"/>
        <v>65987.675490379333</v>
      </c>
      <c r="AI86" s="436">
        <f t="shared" si="1"/>
        <v>64.441089346073568</v>
      </c>
      <c r="AJ86" s="436">
        <f t="shared" si="2"/>
        <v>7740.3245096206665</v>
      </c>
      <c r="AK86" s="436">
        <f t="shared" si="3"/>
        <v>393.88701438903809</v>
      </c>
      <c r="AL86" s="436">
        <f t="shared" si="4"/>
        <v>0.38465528748929501</v>
      </c>
    </row>
    <row r="87" spans="21:38" ht="20.65" thickBot="1">
      <c r="U87" s="445" t="s">
        <v>637</v>
      </c>
      <c r="V87" s="446" t="s">
        <v>627</v>
      </c>
      <c r="W87" s="446"/>
      <c r="AF87" s="358" t="s">
        <v>628</v>
      </c>
      <c r="AG87" s="358">
        <v>68734971195</v>
      </c>
      <c r="AH87" s="436">
        <f t="shared" si="0"/>
        <v>65550.77666759491</v>
      </c>
      <c r="AI87" s="436">
        <f t="shared" si="1"/>
        <v>64.014430339448154</v>
      </c>
      <c r="AJ87" s="436">
        <f t="shared" si="2"/>
        <v>8177.2233324050903</v>
      </c>
      <c r="AK87" s="436">
        <f t="shared" si="3"/>
        <v>436.89882278442383</v>
      </c>
      <c r="AL87" s="436">
        <f t="shared" si="4"/>
        <v>0.42665900662541389</v>
      </c>
    </row>
    <row r="88" spans="21:38">
      <c r="AF88" s="358" t="s">
        <v>629</v>
      </c>
      <c r="AG88" s="358">
        <v>66343496631</v>
      </c>
      <c r="AH88" s="436">
        <f t="shared" si="0"/>
        <v>63270.088797569275</v>
      </c>
      <c r="AI88" s="436">
        <f t="shared" si="1"/>
        <v>61.787196091376245</v>
      </c>
      <c r="AJ88" s="436">
        <f t="shared" si="2"/>
        <v>10457.911202430725</v>
      </c>
      <c r="AK88" s="436">
        <f t="shared" si="3"/>
        <v>2280.6878700256348</v>
      </c>
      <c r="AL88" s="436">
        <f t="shared" si="4"/>
        <v>2.227234248071909</v>
      </c>
    </row>
    <row r="89" spans="21:38">
      <c r="AJ89" s="406" t="s">
        <v>643</v>
      </c>
      <c r="AK89" s="451">
        <f>AK88/5</f>
        <v>456.13757400512696</v>
      </c>
      <c r="AL89" s="436">
        <f t="shared" si="4"/>
        <v>0.4454468496143818</v>
      </c>
    </row>
  </sheetData>
  <sheetProtection selectLockedCells="1"/>
  <mergeCells count="72">
    <mergeCell ref="A62:C62"/>
    <mergeCell ref="D62:E62"/>
    <mergeCell ref="F62:H62"/>
    <mergeCell ref="I62:P62"/>
    <mergeCell ref="Q62:S62"/>
    <mergeCell ref="A67:Q67"/>
    <mergeCell ref="A63:C63"/>
    <mergeCell ref="D63:E63"/>
    <mergeCell ref="I63:P63"/>
    <mergeCell ref="C64:T64"/>
    <mergeCell ref="C65:T65"/>
    <mergeCell ref="F63:H63"/>
    <mergeCell ref="D61:E61"/>
    <mergeCell ref="F61:H61"/>
    <mergeCell ref="I61:P61"/>
    <mergeCell ref="Q61:S61"/>
    <mergeCell ref="A60:C60"/>
    <mergeCell ref="D60:E60"/>
    <mergeCell ref="F60:H60"/>
    <mergeCell ref="I60:P60"/>
    <mergeCell ref="Q60:S60"/>
    <mergeCell ref="A61:C61"/>
    <mergeCell ref="A58:T58"/>
    <mergeCell ref="A59:C59"/>
    <mergeCell ref="D59:E59"/>
    <mergeCell ref="F59:H59"/>
    <mergeCell ref="I59:P59"/>
    <mergeCell ref="Q59:S59"/>
    <mergeCell ref="I54:P54"/>
    <mergeCell ref="C57:T57"/>
    <mergeCell ref="A53:C53"/>
    <mergeCell ref="F53:H53"/>
    <mergeCell ref="I53:P53"/>
    <mergeCell ref="Q53:S53"/>
    <mergeCell ref="A54:C54"/>
    <mergeCell ref="C55:T55"/>
    <mergeCell ref="C56:T56"/>
    <mergeCell ref="D53:E53"/>
    <mergeCell ref="D54:E54"/>
    <mergeCell ref="F54:H54"/>
    <mergeCell ref="A51:C51"/>
    <mergeCell ref="F51:H51"/>
    <mergeCell ref="Q51:S51"/>
    <mergeCell ref="D51:E51"/>
    <mergeCell ref="I51:P51"/>
    <mergeCell ref="A52:C52"/>
    <mergeCell ref="F52:H52"/>
    <mergeCell ref="I52:P52"/>
    <mergeCell ref="Q52:S52"/>
    <mergeCell ref="D52:E52"/>
    <mergeCell ref="AC8:AD8"/>
    <mergeCell ref="A2:T2"/>
    <mergeCell ref="A49:T49"/>
    <mergeCell ref="A50:C50"/>
    <mergeCell ref="F50:H50"/>
    <mergeCell ref="Q50:S50"/>
    <mergeCell ref="D50:E50"/>
    <mergeCell ref="I50:P50"/>
    <mergeCell ref="A40:I40"/>
    <mergeCell ref="D30:I30"/>
    <mergeCell ref="A3:P3"/>
    <mergeCell ref="J18:L18"/>
    <mergeCell ref="J19:L19"/>
    <mergeCell ref="A27:O27"/>
    <mergeCell ref="J5:O7"/>
    <mergeCell ref="J8:O9"/>
    <mergeCell ref="B15:D15"/>
    <mergeCell ref="A4:P4"/>
    <mergeCell ref="A16:D17"/>
    <mergeCell ref="J11:O11"/>
    <mergeCell ref="J15:O15"/>
    <mergeCell ref="J16:O16"/>
  </mergeCells>
  <conditionalFormatting sqref="A58:T60 A13:D14 A11:A12 C11:D12 A62:T65 A61:S61 A5:D8 A10:D10 E22:E24 J16 J11 A18:D21 A23:D26 A31:T48 A28:B30 D28:T28 D30:T30 P29:T29 P14:T22 P25:T27 P23:P24 F22:I22 N22:T22 J18:M19 J5 A15:B15 U24:U39 E6:I9 J8">
    <cfRule type="expression" dxfId="1051" priority="616" stopIfTrue="1">
      <formula>($Z$47="Yes")</formula>
    </cfRule>
  </conditionalFormatting>
  <conditionalFormatting sqref="C42:D47 A10:B10 A11:A12 A45:D48 D19:D21 B18:D18 D24:D26 J11 D11:D14 A18:C21 A23:C26 A23:D23 F28:Q28 A13:B15 A31:D39 A28:B30 D28 D30 E9:I9 J5 P27:Q27 Q27:T39 U24:U39">
    <cfRule type="cellIs" dxfId="1050" priority="633" stopIfTrue="1" operator="equal">
      <formula>"&lt;--Enter Data"</formula>
    </cfRule>
    <cfRule type="cellIs" dxfId="1049" priority="635" stopIfTrue="1" operator="equal">
      <formula>"Not Needed"</formula>
    </cfRule>
  </conditionalFormatting>
  <conditionalFormatting sqref="Q45:T47 E41:E47 P40:T40 R12:T12 S41:T44 P12 J16 J11 A18:D21 A23:D26 A31:D39 A28:B30 D30 D28:Q28 E30:E39 P14:T22 A5:D5 Q4:T4 Q5:R9 E22:I22 N22:T22 J18:M19 P5:P10 A10:I10 E9:I9 J5 A15:B15 P25:T27 Q27:T39 P23:P39 U24:U39">
    <cfRule type="cellIs" dxfId="1048" priority="617" stopIfTrue="1" operator="equal">
      <formula>"&lt;--Enter Data"</formula>
    </cfRule>
    <cfRule type="cellIs" dxfId="1047" priority="618" stopIfTrue="1" operator="equal">
      <formula>"Yes"</formula>
    </cfRule>
    <cfRule type="cellIs" dxfId="1046" priority="619" stopIfTrue="1" operator="equal">
      <formula>"Not Needed"</formula>
    </cfRule>
    <cfRule type="cellIs" dxfId="1045" priority="631" stopIfTrue="1" operator="equal">
      <formula>"No"</formula>
    </cfRule>
  </conditionalFormatting>
  <conditionalFormatting sqref="A57:T57">
    <cfRule type="expression" dxfId="1044" priority="598" stopIfTrue="1">
      <formula>$Z$46="No"</formula>
    </cfRule>
  </conditionalFormatting>
  <conditionalFormatting sqref="B55:B57">
    <cfRule type="cellIs" dxfId="1043" priority="599" stopIfTrue="1" operator="equal">
      <formula>"Yes"</formula>
    </cfRule>
    <cfRule type="cellIs" dxfId="1042" priority="600" stopIfTrue="1" operator="equal">
      <formula>"No"</formula>
    </cfRule>
  </conditionalFormatting>
  <conditionalFormatting sqref="F51:H51">
    <cfRule type="notContainsText" dxfId="1041" priority="597" stopIfTrue="1" operator="notContains" text="vRAM in GB allocated to all VMs per host:">
      <formula>ISERROR(SEARCH("vRAM in GB allocated to all VMs per host:",F51))</formula>
    </cfRule>
  </conditionalFormatting>
  <conditionalFormatting sqref="B64:B65">
    <cfRule type="cellIs" dxfId="1040" priority="591" stopIfTrue="1" operator="equal">
      <formula>"Yes"</formula>
    </cfRule>
    <cfRule type="cellIs" dxfId="1039" priority="593" stopIfTrue="1" operator="equal">
      <formula>"No"</formula>
    </cfRule>
  </conditionalFormatting>
  <conditionalFormatting sqref="F60:H60">
    <cfRule type="notContainsText" dxfId="1038" priority="590" stopIfTrue="1" operator="notContains" text="vRAM in GB allocated to all VMs per host:">
      <formula>ISERROR(SEARCH("vRAM in GB allocated to all VMs per host:",F60))</formula>
    </cfRule>
  </conditionalFormatting>
  <conditionalFormatting sqref="A6:B8 D6:D8 T5:T8 D10:D14 S11:T11 Q3:T3 A13:B14 A11:A12 E12:O13 E11:J11">
    <cfRule type="cellIs" dxfId="1037" priority="637" stopIfTrue="1" operator="equal">
      <formula>"&lt;--Enter Data"</formula>
    </cfRule>
    <cfRule type="cellIs" dxfId="1036" priority="639" stopIfTrue="1" operator="equal">
      <formula>"Yes"</formula>
    </cfRule>
    <cfRule type="cellIs" dxfId="1035" priority="640" stopIfTrue="1" operator="equal">
      <formula>"Not Needed"</formula>
    </cfRule>
    <cfRule type="cellIs" dxfId="1034" priority="641" stopIfTrue="1" operator="equal">
      <formula>"No"</formula>
    </cfRule>
  </conditionalFormatting>
  <conditionalFormatting sqref="C10:C14">
    <cfRule type="cellIs" dxfId="1033" priority="407" stopIfTrue="1" operator="equal">
      <formula>"&lt;--Enter Data"</formula>
    </cfRule>
    <cfRule type="cellIs" dxfId="1032" priority="408" stopIfTrue="1" operator="equal">
      <formula>"Not Needed"</formula>
    </cfRule>
  </conditionalFormatting>
  <conditionalFormatting sqref="C10:C14">
    <cfRule type="cellIs" dxfId="1031" priority="410" stopIfTrue="1" operator="equal">
      <formula>"&lt;--Enter Data"</formula>
    </cfRule>
    <cfRule type="cellIs" dxfId="1030" priority="411" stopIfTrue="1" operator="equal">
      <formula>"Yes"</formula>
    </cfRule>
    <cfRule type="cellIs" dxfId="1029" priority="412" stopIfTrue="1" operator="equal">
      <formula>"Not Needed"</formula>
    </cfRule>
    <cfRule type="cellIs" dxfId="1028" priority="413" stopIfTrue="1" operator="equal">
      <formula>"No"</formula>
    </cfRule>
  </conditionalFormatting>
  <conditionalFormatting sqref="C6:C8">
    <cfRule type="cellIs" dxfId="1027" priority="401" stopIfTrue="1" operator="equal">
      <formula>"&lt;--Enter Data"</formula>
    </cfRule>
    <cfRule type="cellIs" dxfId="1026" priority="402" stopIfTrue="1" operator="equal">
      <formula>"Yes"</formula>
    </cfRule>
    <cfRule type="cellIs" dxfId="1025" priority="403" stopIfTrue="1" operator="equal">
      <formula>"Not Needed"</formula>
    </cfRule>
    <cfRule type="cellIs" dxfId="1024" priority="404" stopIfTrue="1" operator="equal">
      <formula>"No"</formula>
    </cfRule>
  </conditionalFormatting>
  <conditionalFormatting sqref="S5">
    <cfRule type="expression" dxfId="1023" priority="384" stopIfTrue="1">
      <formula>$T$5="Not Needed"</formula>
    </cfRule>
  </conditionalFormatting>
  <conditionalFormatting sqref="S6">
    <cfRule type="expression" dxfId="1022" priority="383" stopIfTrue="1">
      <formula>$T$5="Not Needed"</formula>
    </cfRule>
  </conditionalFormatting>
  <conditionalFormatting sqref="S7:S8">
    <cfRule type="expression" dxfId="1021" priority="382" stopIfTrue="1">
      <formula>$T$5="Not Needed"</formula>
    </cfRule>
  </conditionalFormatting>
  <conditionalFormatting sqref="Q4:T8">
    <cfRule type="expression" dxfId="1020" priority="370" stopIfTrue="1">
      <formula>$Z$46="No"</formula>
    </cfRule>
  </conditionalFormatting>
  <conditionalFormatting sqref="S5:S8">
    <cfRule type="cellIs" dxfId="1019" priority="378" stopIfTrue="1" operator="equal">
      <formula>"&lt;--Enter Data"</formula>
    </cfRule>
    <cfRule type="cellIs" dxfId="1018" priority="379" stopIfTrue="1" operator="equal">
      <formula>"Yes"</formula>
    </cfRule>
    <cfRule type="cellIs" dxfId="1017" priority="380" stopIfTrue="1" operator="equal">
      <formula>"Not Needed"</formula>
    </cfRule>
    <cfRule type="cellIs" dxfId="1016" priority="381" stopIfTrue="1" operator="equal">
      <formula>"No"</formula>
    </cfRule>
  </conditionalFormatting>
  <conditionalFormatting sqref="B64">
    <cfRule type="cellIs" dxfId="1015" priority="373" stopIfTrue="1" operator="equal">
      <formula>"Yes"</formula>
    </cfRule>
    <cfRule type="cellIs" dxfId="1014" priority="406" stopIfTrue="1" operator="equal">
      <formula>"No"</formula>
    </cfRule>
  </conditionalFormatting>
  <conditionalFormatting sqref="A49:T50 D51:T51 A53:T56 A52:S52 A14:D14 F12:T12 P14:T14 A5:D8 P11:T11 P10 Q9:R9 F11:J11 F10:I10 J5 E6:I9 J8">
    <cfRule type="expression" dxfId="1013" priority="362" stopIfTrue="1">
      <formula>($Z$45="Not Virtualized")</formula>
    </cfRule>
  </conditionalFormatting>
  <conditionalFormatting sqref="A66:T66 A68:T69 A67:Q67 S67:T67">
    <cfRule type="expression" dxfId="1012" priority="782" stopIfTrue="1">
      <formula>AND($X$45="No",$X$46="No",$X$48="No")</formula>
    </cfRule>
  </conditionalFormatting>
  <conditionalFormatting sqref="V62">
    <cfRule type="expression" dxfId="1011" priority="360" stopIfTrue="1">
      <formula>AND($X$45="No",$X$46="No",$X$48="No")</formula>
    </cfRule>
  </conditionalFormatting>
  <conditionalFormatting sqref="W62">
    <cfRule type="expression" dxfId="1010" priority="359" stopIfTrue="1">
      <formula>AND($X$45="No",$X$46="No",$X$48="No")</formula>
    </cfRule>
  </conditionalFormatting>
  <conditionalFormatting sqref="X62">
    <cfRule type="expression" dxfId="1009" priority="358" stopIfTrue="1">
      <formula>AND($X$45="No",$X$46="No",$X$48="No")</formula>
    </cfRule>
  </conditionalFormatting>
  <conditionalFormatting sqref="R67">
    <cfRule type="expression" dxfId="1008" priority="357" stopIfTrue="1">
      <formula>AND($X$45="No",$X$46="No",$X$48="No")</formula>
    </cfRule>
  </conditionalFormatting>
  <conditionalFormatting sqref="E23:E24">
    <cfRule type="cellIs" dxfId="1007" priority="353" stopIfTrue="1" operator="equal">
      <formula>"&lt;--Enter Data"</formula>
    </cfRule>
    <cfRule type="cellIs" dxfId="1006" priority="354" stopIfTrue="1" operator="equal">
      <formula>"Yes"</formula>
    </cfRule>
    <cfRule type="cellIs" dxfId="1005" priority="355" stopIfTrue="1" operator="equal">
      <formula>"Not Needed"</formula>
    </cfRule>
    <cfRule type="cellIs" dxfId="1004" priority="356" stopIfTrue="1" operator="equal">
      <formula>"No"</formula>
    </cfRule>
  </conditionalFormatting>
  <conditionalFormatting sqref="A58:T60 A13:D14 A11:A12 C11:D12 A62:T65 A61:S61 E22:E24 J16 J11 A18:D21 A23:D26 A31:T48 A28:B30 D28:T28 D30:T30 P29:T29 P14:T22 P25:T27 P23:P24 F22:I22 N22:T22 J18:M19 J5 A15:B15 U24:U39 E6:I9 J8">
    <cfRule type="expression" dxfId="1003" priority="323" stopIfTrue="1">
      <formula>($Z$48="Not Virtualized")</formula>
    </cfRule>
  </conditionalFormatting>
  <conditionalFormatting sqref="M18">
    <cfRule type="expression" dxfId="1002" priority="320" stopIfTrue="1">
      <formula>($Z$47="Yes")</formula>
    </cfRule>
  </conditionalFormatting>
  <conditionalFormatting sqref="M18">
    <cfRule type="cellIs" dxfId="1001" priority="321" stopIfTrue="1" operator="equal">
      <formula>"&lt;--Enter Data"</formula>
    </cfRule>
    <cfRule type="cellIs" dxfId="1000" priority="322" stopIfTrue="1" operator="equal">
      <formula>"Not Needed"</formula>
    </cfRule>
  </conditionalFormatting>
  <conditionalFormatting sqref="M18">
    <cfRule type="expression" dxfId="999" priority="319" stopIfTrue="1">
      <formula>AND($Z$45="Not Virtualized",$Z$46="No")</formula>
    </cfRule>
  </conditionalFormatting>
  <conditionalFormatting sqref="M18">
    <cfRule type="expression" dxfId="998" priority="318" stopIfTrue="1">
      <formula>($Z$48="Not Virtualized")</formula>
    </cfRule>
  </conditionalFormatting>
  <conditionalFormatting sqref="M19">
    <cfRule type="expression" dxfId="997" priority="304" stopIfTrue="1">
      <formula>($Z$47="Yes")</formula>
    </cfRule>
  </conditionalFormatting>
  <conditionalFormatting sqref="M19">
    <cfRule type="cellIs" dxfId="996" priority="305" stopIfTrue="1" operator="equal">
      <formula>"&lt;--Enter Data"</formula>
    </cfRule>
    <cfRule type="cellIs" dxfId="995" priority="306" stopIfTrue="1" operator="equal">
      <formula>"Not Needed"</formula>
    </cfRule>
  </conditionalFormatting>
  <conditionalFormatting sqref="M19">
    <cfRule type="expression" dxfId="994" priority="303" stopIfTrue="1">
      <formula>AND($Z$45="Not Virtualized",$Z$46="No")</formula>
    </cfRule>
  </conditionalFormatting>
  <conditionalFormatting sqref="A24:D26 A31:T39 A28:B30 D28:T28 D30:T30 P29:T29 P14:T22 P23:P24 F22:I22 N22:T22 J18:M19 P25:T27">
    <cfRule type="expression" dxfId="993" priority="302" stopIfTrue="1">
      <formula>($W$1="Yes")</formula>
    </cfRule>
  </conditionalFormatting>
  <conditionalFormatting sqref="U13:U14">
    <cfRule type="expression" dxfId="992" priority="273" stopIfTrue="1">
      <formula>($Z$47="Yes")</formula>
    </cfRule>
  </conditionalFormatting>
  <conditionalFormatting sqref="U13:U14">
    <cfRule type="cellIs" dxfId="991" priority="274" stopIfTrue="1" operator="equal">
      <formula>"&lt;--Enter Data"</formula>
    </cfRule>
    <cfRule type="cellIs" dxfId="990" priority="275" stopIfTrue="1" operator="equal">
      <formula>"Not Needed"</formula>
    </cfRule>
  </conditionalFormatting>
  <conditionalFormatting sqref="U13:U14">
    <cfRule type="cellIs" dxfId="989" priority="276" stopIfTrue="1" operator="equal">
      <formula>"&lt;--Enter Data"</formula>
    </cfRule>
    <cfRule type="cellIs" dxfId="988" priority="277" stopIfTrue="1" operator="equal">
      <formula>"Yes"</formula>
    </cfRule>
    <cfRule type="cellIs" dxfId="987" priority="278" stopIfTrue="1" operator="equal">
      <formula>"Not Needed"</formula>
    </cfRule>
    <cfRule type="cellIs" dxfId="986" priority="279" stopIfTrue="1" operator="equal">
      <formula>"No"</formula>
    </cfRule>
  </conditionalFormatting>
  <conditionalFormatting sqref="U13:U14">
    <cfRule type="expression" dxfId="985" priority="272" stopIfTrue="1">
      <formula>($Z$48="Not Virtualized")</formula>
    </cfRule>
  </conditionalFormatting>
  <conditionalFormatting sqref="U21:U23">
    <cfRule type="expression" dxfId="984" priority="240" stopIfTrue="1">
      <formula>($Z$47="Yes")</formula>
    </cfRule>
  </conditionalFormatting>
  <conditionalFormatting sqref="U21:U23">
    <cfRule type="cellIs" dxfId="983" priority="241" stopIfTrue="1" operator="equal">
      <formula>"&lt;--Enter Data"</formula>
    </cfRule>
    <cfRule type="cellIs" dxfId="982" priority="242" stopIfTrue="1" operator="equal">
      <formula>"Not Needed"</formula>
    </cfRule>
  </conditionalFormatting>
  <conditionalFormatting sqref="U21:U23">
    <cfRule type="cellIs" dxfId="981" priority="243" stopIfTrue="1" operator="equal">
      <formula>"&lt;--Enter Data"</formula>
    </cfRule>
    <cfRule type="cellIs" dxfId="980" priority="244" stopIfTrue="1" operator="equal">
      <formula>"Yes"</formula>
    </cfRule>
    <cfRule type="cellIs" dxfId="979" priority="245" stopIfTrue="1" operator="equal">
      <formula>"Not Needed"</formula>
    </cfRule>
    <cfRule type="cellIs" dxfId="978" priority="246" stopIfTrue="1" operator="equal">
      <formula>"No"</formula>
    </cfRule>
  </conditionalFormatting>
  <conditionalFormatting sqref="U21:U23">
    <cfRule type="expression" dxfId="977" priority="239" stopIfTrue="1">
      <formula>($Z$48="Not Virtualized")</formula>
    </cfRule>
  </conditionalFormatting>
  <conditionalFormatting sqref="A10:D10">
    <cfRule type="expression" dxfId="976" priority="249" stopIfTrue="1">
      <formula>($Z$48="Not Virtualized")</formula>
    </cfRule>
  </conditionalFormatting>
  <conditionalFormatting sqref="T3">
    <cfRule type="expression" dxfId="975" priority="227" stopIfTrue="1">
      <formula>$Z$46="No"</formula>
    </cfRule>
  </conditionalFormatting>
  <conditionalFormatting sqref="R3">
    <cfRule type="expression" dxfId="974" priority="228" stopIfTrue="1">
      <formula>$Z$46="No"</formula>
    </cfRule>
  </conditionalFormatting>
  <conditionalFormatting sqref="M19">
    <cfRule type="expression" dxfId="973" priority="224" stopIfTrue="1">
      <formula>($Z$47="Yes")</formula>
    </cfRule>
  </conditionalFormatting>
  <conditionalFormatting sqref="M19">
    <cfRule type="cellIs" dxfId="972" priority="225" stopIfTrue="1" operator="equal">
      <formula>"&lt;--Enter Data"</formula>
    </cfRule>
    <cfRule type="cellIs" dxfId="971" priority="226" stopIfTrue="1" operator="equal">
      <formula>"Not Needed"</formula>
    </cfRule>
  </conditionalFormatting>
  <conditionalFormatting sqref="M19">
    <cfRule type="expression" dxfId="970" priority="223" stopIfTrue="1">
      <formula>AND($Z$45="Not Virtualized",$Z$46="No")</formula>
    </cfRule>
  </conditionalFormatting>
  <conditionalFormatting sqref="M19">
    <cfRule type="expression" dxfId="969" priority="222" stopIfTrue="1">
      <formula>($Z$48="Not Virtualized")</formula>
    </cfRule>
  </conditionalFormatting>
  <conditionalFormatting sqref="U11:U12">
    <cfRule type="expression" dxfId="968" priority="200" stopIfTrue="1">
      <formula>($Z$47="Yes")</formula>
    </cfRule>
  </conditionalFormatting>
  <conditionalFormatting sqref="U11:U12">
    <cfRule type="cellIs" dxfId="967" priority="201" stopIfTrue="1" operator="equal">
      <formula>"&lt;--Enter Data"</formula>
    </cfRule>
    <cfRule type="cellIs" dxfId="966" priority="202" stopIfTrue="1" operator="equal">
      <formula>"Not Needed"</formula>
    </cfRule>
  </conditionalFormatting>
  <conditionalFormatting sqref="U11:U12">
    <cfRule type="cellIs" dxfId="965" priority="203" stopIfTrue="1" operator="equal">
      <formula>"&lt;--Enter Data"</formula>
    </cfRule>
    <cfRule type="cellIs" dxfId="964" priority="204" stopIfTrue="1" operator="equal">
      <formula>"Yes"</formula>
    </cfRule>
    <cfRule type="cellIs" dxfId="963" priority="205" stopIfTrue="1" operator="equal">
      <formula>"Not Needed"</formula>
    </cfRule>
    <cfRule type="cellIs" dxfId="962" priority="206" stopIfTrue="1" operator="equal">
      <formula>"No"</formula>
    </cfRule>
  </conditionalFormatting>
  <conditionalFormatting sqref="U11:U12">
    <cfRule type="expression" dxfId="961" priority="199" stopIfTrue="1">
      <formula>($Z$48="Not Virtualized")</formula>
    </cfRule>
  </conditionalFormatting>
  <conditionalFormatting sqref="B29">
    <cfRule type="expression" dxfId="960" priority="195" stopIfTrue="1">
      <formula>($Z$47="Yes")</formula>
    </cfRule>
  </conditionalFormatting>
  <conditionalFormatting sqref="B29">
    <cfRule type="expression" dxfId="959" priority="196" stopIfTrue="1">
      <formula>($Z$48="Not Virtualized")</formula>
    </cfRule>
  </conditionalFormatting>
  <conditionalFormatting sqref="B11:B12">
    <cfRule type="expression" dxfId="958" priority="187" stopIfTrue="1">
      <formula>($Z$47="Yes")</formula>
    </cfRule>
  </conditionalFormatting>
  <conditionalFormatting sqref="B11:B12">
    <cfRule type="cellIs" dxfId="957" priority="189" stopIfTrue="1" operator="equal">
      <formula>"&lt;--Enter Data"</formula>
    </cfRule>
    <cfRule type="cellIs" dxfId="956" priority="190" stopIfTrue="1" operator="equal">
      <formula>"Not Needed"</formula>
    </cfRule>
  </conditionalFormatting>
  <conditionalFormatting sqref="B11:B12">
    <cfRule type="cellIs" dxfId="955" priority="191" stopIfTrue="1" operator="equal">
      <formula>"&lt;--Enter Data"</formula>
    </cfRule>
    <cfRule type="cellIs" dxfId="954" priority="192" stopIfTrue="1" operator="equal">
      <formula>"Yes"</formula>
    </cfRule>
    <cfRule type="cellIs" dxfId="953" priority="193" stopIfTrue="1" operator="equal">
      <formula>"Not Needed"</formula>
    </cfRule>
    <cfRule type="cellIs" dxfId="952" priority="194" stopIfTrue="1" operator="equal">
      <formula>"No"</formula>
    </cfRule>
  </conditionalFormatting>
  <conditionalFormatting sqref="B11:B12">
    <cfRule type="expression" dxfId="951" priority="188" stopIfTrue="1">
      <formula>($Z$48="Not Virtualized")</formula>
    </cfRule>
  </conditionalFormatting>
  <conditionalFormatting sqref="A51:C51">
    <cfRule type="expression" dxfId="950" priority="185" stopIfTrue="1">
      <formula>($Z$45="Not Virtualized")</formula>
    </cfRule>
  </conditionalFormatting>
  <conditionalFormatting sqref="T9">
    <cfRule type="cellIs" dxfId="949" priority="175" stopIfTrue="1" operator="equal">
      <formula>"&lt;--Enter Data"</formula>
    </cfRule>
    <cfRule type="cellIs" dxfId="948" priority="176" stopIfTrue="1" operator="equal">
      <formula>"Yes"</formula>
    </cfRule>
    <cfRule type="cellIs" dxfId="947" priority="177" stopIfTrue="1" operator="equal">
      <formula>"Not Needed"</formula>
    </cfRule>
    <cfRule type="cellIs" dxfId="946" priority="178" stopIfTrue="1" operator="equal">
      <formula>"No"</formula>
    </cfRule>
  </conditionalFormatting>
  <conditionalFormatting sqref="S9">
    <cfRule type="expression" dxfId="945" priority="174" stopIfTrue="1">
      <formula>$T$5="Not Needed"</formula>
    </cfRule>
  </conditionalFormatting>
  <conditionalFormatting sqref="S9:T9">
    <cfRule type="expression" dxfId="944" priority="169" stopIfTrue="1">
      <formula>$Z$46="No"</formula>
    </cfRule>
  </conditionalFormatting>
  <conditionalFormatting sqref="S9">
    <cfRule type="cellIs" dxfId="943" priority="170" stopIfTrue="1" operator="equal">
      <formula>"&lt;--Enter Data"</formula>
    </cfRule>
    <cfRule type="cellIs" dxfId="942" priority="171" stopIfTrue="1" operator="equal">
      <formula>"Yes"</formula>
    </cfRule>
    <cfRule type="cellIs" dxfId="941" priority="172" stopIfTrue="1" operator="equal">
      <formula>"Not Needed"</formula>
    </cfRule>
    <cfRule type="cellIs" dxfId="940" priority="173" stopIfTrue="1" operator="equal">
      <formula>"No"</formula>
    </cfRule>
  </conditionalFormatting>
  <conditionalFormatting sqref="A4">
    <cfRule type="expression" dxfId="939" priority="150" stopIfTrue="1">
      <formula>($Z$47="Yes")</formula>
    </cfRule>
  </conditionalFormatting>
  <conditionalFormatting sqref="T52">
    <cfRule type="expression" dxfId="938" priority="164" stopIfTrue="1">
      <formula>($Z$45="Not Virtualized")</formula>
    </cfRule>
  </conditionalFormatting>
  <conditionalFormatting sqref="T61">
    <cfRule type="expression" dxfId="937" priority="163" stopIfTrue="1">
      <formula>($Z$47="Yes")</formula>
    </cfRule>
  </conditionalFormatting>
  <conditionalFormatting sqref="T61">
    <cfRule type="expression" dxfId="936" priority="162" stopIfTrue="1">
      <formula>($Z$48="Not Virtualized")</formula>
    </cfRule>
  </conditionalFormatting>
  <conditionalFormatting sqref="A3:A4">
    <cfRule type="expression" dxfId="935" priority="157" stopIfTrue="1">
      <formula>($Z$47="Yes")</formula>
    </cfRule>
  </conditionalFormatting>
  <conditionalFormatting sqref="A3:A4">
    <cfRule type="cellIs" dxfId="934" priority="158" stopIfTrue="1" operator="equal">
      <formula>"&lt;--Enter Data"</formula>
    </cfRule>
    <cfRule type="cellIs" dxfId="933" priority="159" stopIfTrue="1" operator="equal">
      <formula>"Yes"</formula>
    </cfRule>
    <cfRule type="cellIs" dxfId="932" priority="160" stopIfTrue="1" operator="equal">
      <formula>"Not Needed"</formula>
    </cfRule>
    <cfRule type="cellIs" dxfId="931" priority="161" stopIfTrue="1" operator="equal">
      <formula>"No"</formula>
    </cfRule>
  </conditionalFormatting>
  <conditionalFormatting sqref="A3:A4">
    <cfRule type="expression" dxfId="930" priority="156" stopIfTrue="1">
      <formula>($Z$45="Not Virtualized")</formula>
    </cfRule>
  </conditionalFormatting>
  <conditionalFormatting sqref="A10:D10">
    <cfRule type="expression" dxfId="929" priority="155" stopIfTrue="1">
      <formula>($Z$45="Not Virtualized")</formula>
    </cfRule>
  </conditionalFormatting>
  <conditionalFormatting sqref="A4">
    <cfRule type="cellIs" dxfId="928" priority="151" stopIfTrue="1" operator="equal">
      <formula>"&lt;--Enter Data"</formula>
    </cfRule>
    <cfRule type="cellIs" dxfId="927" priority="152" stopIfTrue="1" operator="equal">
      <formula>"Yes"</formula>
    </cfRule>
    <cfRule type="cellIs" dxfId="926" priority="153" stopIfTrue="1" operator="equal">
      <formula>"Not Needed"</formula>
    </cfRule>
    <cfRule type="cellIs" dxfId="925" priority="154" stopIfTrue="1" operator="equal">
      <formula>"No"</formula>
    </cfRule>
  </conditionalFormatting>
  <conditionalFormatting sqref="A4">
    <cfRule type="expression" dxfId="924" priority="149" stopIfTrue="1">
      <formula>($Z$45="Not Virtualized")</formula>
    </cfRule>
  </conditionalFormatting>
  <conditionalFormatting sqref="A18">
    <cfRule type="cellIs" dxfId="923" priority="145" stopIfTrue="1" operator="equal">
      <formula>"&lt;--Enter Data"</formula>
    </cfRule>
    <cfRule type="cellIs" dxfId="922" priority="146" stopIfTrue="1" operator="equal">
      <formula>"Yes"</formula>
    </cfRule>
    <cfRule type="cellIs" dxfId="921" priority="147" stopIfTrue="1" operator="equal">
      <formula>"Not Needed"</formula>
    </cfRule>
    <cfRule type="cellIs" dxfId="920" priority="148" stopIfTrue="1" operator="equal">
      <formula>"No"</formula>
    </cfRule>
  </conditionalFormatting>
  <conditionalFormatting sqref="A18">
    <cfRule type="expression" dxfId="919" priority="144" stopIfTrue="1">
      <formula>($Z$48="Not Virtualized")</formula>
    </cfRule>
  </conditionalFormatting>
  <conditionalFormatting sqref="A18">
    <cfRule type="expression" dxfId="918" priority="143" stopIfTrue="1">
      <formula>($Z$45="Not Virtualized")</formula>
    </cfRule>
  </conditionalFormatting>
  <conditionalFormatting sqref="B18:D18">
    <cfRule type="cellIs" dxfId="917" priority="139" stopIfTrue="1" operator="equal">
      <formula>"&lt;--Enter Data"</formula>
    </cfRule>
    <cfRule type="cellIs" dxfId="916" priority="140" stopIfTrue="1" operator="equal">
      <formula>"Yes"</formula>
    </cfRule>
    <cfRule type="cellIs" dxfId="915" priority="141" stopIfTrue="1" operator="equal">
      <formula>"Not Needed"</formula>
    </cfRule>
    <cfRule type="cellIs" dxfId="914" priority="142" stopIfTrue="1" operator="equal">
      <formula>"No"</formula>
    </cfRule>
  </conditionalFormatting>
  <conditionalFormatting sqref="B18:D18">
    <cfRule type="expression" dxfId="913" priority="138" stopIfTrue="1">
      <formula>($Z$48="Not Virtualized")</formula>
    </cfRule>
  </conditionalFormatting>
  <conditionalFormatting sqref="B18:D18">
    <cfRule type="expression" dxfId="912" priority="137" stopIfTrue="1">
      <formula>($Z$45="Not Virtualized")</formula>
    </cfRule>
  </conditionalFormatting>
  <conditionalFormatting sqref="J5">
    <cfRule type="expression" dxfId="911" priority="112" stopIfTrue="1">
      <formula>($Z$47="Yes")</formula>
    </cfRule>
  </conditionalFormatting>
  <conditionalFormatting sqref="J5">
    <cfRule type="cellIs" dxfId="910" priority="117" stopIfTrue="1" operator="equal">
      <formula>"&lt;--Enter Data"</formula>
    </cfRule>
    <cfRule type="cellIs" dxfId="909" priority="118" stopIfTrue="1" operator="equal">
      <formula>"Not Needed"</formula>
    </cfRule>
  </conditionalFormatting>
  <conditionalFormatting sqref="J5">
    <cfRule type="cellIs" dxfId="908" priority="113" stopIfTrue="1" operator="equal">
      <formula>"&lt;--Enter Data"</formula>
    </cfRule>
    <cfRule type="cellIs" dxfId="907" priority="114" stopIfTrue="1" operator="equal">
      <formula>"Yes"</formula>
    </cfRule>
    <cfRule type="cellIs" dxfId="906" priority="115" stopIfTrue="1" operator="equal">
      <formula>"Not Needed"</formula>
    </cfRule>
    <cfRule type="cellIs" dxfId="905" priority="116" stopIfTrue="1" operator="equal">
      <formula>"No"</formula>
    </cfRule>
  </conditionalFormatting>
  <conditionalFormatting sqref="J5">
    <cfRule type="expression" dxfId="904" priority="111" stopIfTrue="1">
      <formula>($Z$48="Not Virtualized")</formula>
    </cfRule>
  </conditionalFormatting>
  <conditionalFormatting sqref="J5">
    <cfRule type="cellIs" dxfId="903" priority="107" stopIfTrue="1" operator="equal">
      <formula>"&lt;--Enter Data"</formula>
    </cfRule>
    <cfRule type="cellIs" dxfId="902" priority="108" stopIfTrue="1" operator="equal">
      <formula>"Yes"</formula>
    </cfRule>
    <cfRule type="cellIs" dxfId="901" priority="109" stopIfTrue="1" operator="equal">
      <formula>"Not Needed"</formula>
    </cfRule>
    <cfRule type="cellIs" dxfId="900" priority="110" stopIfTrue="1" operator="equal">
      <formula>"No"</formula>
    </cfRule>
  </conditionalFormatting>
  <conditionalFormatting sqref="J5">
    <cfRule type="expression" dxfId="899" priority="106" stopIfTrue="1">
      <formula>($Z$48="Not Virtualized")</formula>
    </cfRule>
  </conditionalFormatting>
  <conditionalFormatting sqref="J5">
    <cfRule type="expression" dxfId="898" priority="105" stopIfTrue="1">
      <formula>($Z$45="Not Virtualized")</formula>
    </cfRule>
  </conditionalFormatting>
  <conditionalFormatting sqref="M19 C41:C48 H41:H47 S41:S44 A18:D21 F28:Q28 A15:B15 A23:D26 A31:D39 D28 D30 A28:C30 J11 J5 P27:Q27 Q27:T39">
    <cfRule type="expression" dxfId="897" priority="839" stopIfTrue="1">
      <formula>($M$18&lt;&gt;"Yes")</formula>
    </cfRule>
  </conditionalFormatting>
  <conditionalFormatting sqref="A23:D23">
    <cfRule type="cellIs" dxfId="896" priority="101" stopIfTrue="1" operator="equal">
      <formula>"&lt;--Enter Data"</formula>
    </cfRule>
    <cfRule type="cellIs" dxfId="895" priority="102" stopIfTrue="1" operator="equal">
      <formula>"Yes"</formula>
    </cfRule>
    <cfRule type="cellIs" dxfId="894" priority="103" stopIfTrue="1" operator="equal">
      <formula>"Not Needed"</formula>
    </cfRule>
    <cfRule type="cellIs" dxfId="893" priority="104" stopIfTrue="1" operator="equal">
      <formula>"No"</formula>
    </cfRule>
  </conditionalFormatting>
  <conditionalFormatting sqref="A23:D23">
    <cfRule type="expression" dxfId="892" priority="100" stopIfTrue="1">
      <formula>($Z$48="Not Virtualized")</formula>
    </cfRule>
  </conditionalFormatting>
  <conditionalFormatting sqref="A23:D23">
    <cfRule type="expression" dxfId="891" priority="99" stopIfTrue="1">
      <formula>($Z$45="Not Virtualized")</formula>
    </cfRule>
  </conditionalFormatting>
  <conditionalFormatting sqref="A16">
    <cfRule type="expression" dxfId="890" priority="92" stopIfTrue="1">
      <formula>($Z$47="Yes")</formula>
    </cfRule>
  </conditionalFormatting>
  <conditionalFormatting sqref="A16">
    <cfRule type="cellIs" dxfId="889" priority="93" stopIfTrue="1" operator="equal">
      <formula>"&lt;--Enter Data"</formula>
    </cfRule>
    <cfRule type="cellIs" dxfId="888" priority="94" stopIfTrue="1" operator="equal">
      <formula>"Not Needed"</formula>
    </cfRule>
  </conditionalFormatting>
  <conditionalFormatting sqref="A16">
    <cfRule type="cellIs" dxfId="887" priority="95" stopIfTrue="1" operator="equal">
      <formula>"&lt;--Enter Data"</formula>
    </cfRule>
    <cfRule type="cellIs" dxfId="886" priority="96" stopIfTrue="1" operator="equal">
      <formula>"Yes"</formula>
    </cfRule>
    <cfRule type="cellIs" dxfId="885" priority="97" stopIfTrue="1" operator="equal">
      <formula>"Not Needed"</formula>
    </cfRule>
    <cfRule type="cellIs" dxfId="884" priority="98" stopIfTrue="1" operator="equal">
      <formula>"No"</formula>
    </cfRule>
  </conditionalFormatting>
  <conditionalFormatting sqref="A16">
    <cfRule type="expression" dxfId="883" priority="91" stopIfTrue="1">
      <formula>($Z$45="Not Virtualized")</formula>
    </cfRule>
  </conditionalFormatting>
  <conditionalFormatting sqref="A16">
    <cfRule type="expression" dxfId="882" priority="90" stopIfTrue="1">
      <formula>($Z$48="Not Virtualized")</formula>
    </cfRule>
  </conditionalFormatting>
  <conditionalFormatting sqref="F13:T13">
    <cfRule type="expression" dxfId="881" priority="83" stopIfTrue="1">
      <formula>($Z$47="Yes")</formula>
    </cfRule>
  </conditionalFormatting>
  <conditionalFormatting sqref="F13:T13 P14:T14">
    <cfRule type="cellIs" dxfId="880" priority="84" stopIfTrue="1" operator="equal">
      <formula>"&lt;--Enter Data"</formula>
    </cfRule>
    <cfRule type="cellIs" dxfId="879" priority="85" stopIfTrue="1" operator="equal">
      <formula>"Not Needed"</formula>
    </cfRule>
  </conditionalFormatting>
  <conditionalFormatting sqref="F13:T13 P14:T14">
    <cfRule type="cellIs" dxfId="878" priority="86" stopIfTrue="1" operator="equal">
      <formula>"&lt;--Enter Data"</formula>
    </cfRule>
    <cfRule type="cellIs" dxfId="877" priority="87" stopIfTrue="1" operator="equal">
      <formula>"Yes"</formula>
    </cfRule>
    <cfRule type="cellIs" dxfId="876" priority="88" stopIfTrue="1" operator="equal">
      <formula>"Not Needed"</formula>
    </cfRule>
    <cfRule type="cellIs" dxfId="875" priority="89" stopIfTrue="1" operator="equal">
      <formula>"No"</formula>
    </cfRule>
  </conditionalFormatting>
  <conditionalFormatting sqref="F13:T13">
    <cfRule type="expression" dxfId="874" priority="82" stopIfTrue="1">
      <formula>($Z$45="Not Virtualized")</formula>
    </cfRule>
  </conditionalFormatting>
  <conditionalFormatting sqref="F13:T13">
    <cfRule type="expression" dxfId="873" priority="81" stopIfTrue="1">
      <formula>($Z$48="Not Virtualized")</formula>
    </cfRule>
  </conditionalFormatting>
  <conditionalFormatting sqref="A22:D22">
    <cfRule type="expression" dxfId="872" priority="79" stopIfTrue="1">
      <formula>($Z$47="Yes")</formula>
    </cfRule>
  </conditionalFormatting>
  <conditionalFormatting sqref="A22:D22">
    <cfRule type="cellIs" dxfId="871" priority="75" stopIfTrue="1" operator="equal">
      <formula>"&lt;--Enter Data"</formula>
    </cfRule>
    <cfRule type="cellIs" dxfId="870" priority="76" stopIfTrue="1" operator="equal">
      <formula>"Yes"</formula>
    </cfRule>
    <cfRule type="cellIs" dxfId="869" priority="77" stopIfTrue="1" operator="equal">
      <formula>"Not Needed"</formula>
    </cfRule>
    <cfRule type="cellIs" dxfId="868" priority="78" stopIfTrue="1" operator="equal">
      <formula>"No"</formula>
    </cfRule>
  </conditionalFormatting>
  <conditionalFormatting sqref="A22:D22">
    <cfRule type="expression" dxfId="867" priority="74" stopIfTrue="1">
      <formula>($Z$48="Not Virtualized")</formula>
    </cfRule>
  </conditionalFormatting>
  <conditionalFormatting sqref="A22:D22">
    <cfRule type="expression" dxfId="866" priority="73" stopIfTrue="1">
      <formula>($W$1="Yes")</formula>
    </cfRule>
  </conditionalFormatting>
  <conditionalFormatting sqref="E25:O26">
    <cfRule type="expression" dxfId="865" priority="63" stopIfTrue="1">
      <formula>($Z$47="Yes")</formula>
    </cfRule>
  </conditionalFormatting>
  <conditionalFormatting sqref="E25:O26">
    <cfRule type="cellIs" dxfId="864" priority="59" stopIfTrue="1" operator="equal">
      <formula>"&lt;--Enter Data"</formula>
    </cfRule>
    <cfRule type="cellIs" dxfId="863" priority="60" stopIfTrue="1" operator="equal">
      <formula>"Yes"</formula>
    </cfRule>
    <cfRule type="cellIs" dxfId="862" priority="61" stopIfTrue="1" operator="equal">
      <formula>"Not Needed"</formula>
    </cfRule>
    <cfRule type="cellIs" dxfId="861" priority="62" stopIfTrue="1" operator="equal">
      <formula>"No"</formula>
    </cfRule>
  </conditionalFormatting>
  <conditionalFormatting sqref="E25:O26">
    <cfRule type="expression" dxfId="860" priority="58" stopIfTrue="1">
      <formula>($Z$48="Not Virtualized")</formula>
    </cfRule>
  </conditionalFormatting>
  <conditionalFormatting sqref="E25:O26">
    <cfRule type="expression" dxfId="859" priority="57" stopIfTrue="1">
      <formula>($W$1="Yes")</formula>
    </cfRule>
  </conditionalFormatting>
  <conditionalFormatting sqref="E17:O17">
    <cfRule type="expression" dxfId="858" priority="50" stopIfTrue="1">
      <formula>($Z$47="Yes")</formula>
    </cfRule>
  </conditionalFormatting>
  <conditionalFormatting sqref="E17:O17">
    <cfRule type="cellIs" dxfId="857" priority="51" stopIfTrue="1" operator="equal">
      <formula>"&lt;--Enter Data"</formula>
    </cfRule>
    <cfRule type="cellIs" dxfId="856" priority="52" stopIfTrue="1" operator="equal">
      <formula>"Not Needed"</formula>
    </cfRule>
  </conditionalFormatting>
  <conditionalFormatting sqref="E17:O17">
    <cfRule type="cellIs" dxfId="855" priority="53" stopIfTrue="1" operator="equal">
      <formula>"&lt;--Enter Data"</formula>
    </cfRule>
    <cfRule type="cellIs" dxfId="854" priority="54" stopIfTrue="1" operator="equal">
      <formula>"Yes"</formula>
    </cfRule>
    <cfRule type="cellIs" dxfId="853" priority="55" stopIfTrue="1" operator="equal">
      <formula>"Not Needed"</formula>
    </cfRule>
    <cfRule type="cellIs" dxfId="852" priority="56" stopIfTrue="1" operator="equal">
      <formula>"No"</formula>
    </cfRule>
  </conditionalFormatting>
  <conditionalFormatting sqref="E17:O17">
    <cfRule type="expression" dxfId="851" priority="49" stopIfTrue="1">
      <formula>($Z$45="Not Virtualized")</formula>
    </cfRule>
  </conditionalFormatting>
  <conditionalFormatting sqref="E17:O17">
    <cfRule type="expression" dxfId="850" priority="48" stopIfTrue="1">
      <formula>($Z$48="Not Virtualized")</formula>
    </cfRule>
  </conditionalFormatting>
  <conditionalFormatting sqref="A27">
    <cfRule type="expression" dxfId="849" priority="43" stopIfTrue="1">
      <formula>($Z$47="Yes")</formula>
    </cfRule>
  </conditionalFormatting>
  <conditionalFormatting sqref="A27">
    <cfRule type="cellIs" dxfId="848" priority="44" stopIfTrue="1" operator="equal">
      <formula>"&lt;--Enter Data"</formula>
    </cfRule>
    <cfRule type="cellIs" dxfId="847" priority="45" stopIfTrue="1" operator="equal">
      <formula>"Yes"</formula>
    </cfRule>
    <cfRule type="cellIs" dxfId="846" priority="46" stopIfTrue="1" operator="equal">
      <formula>"Not Needed"</formula>
    </cfRule>
    <cfRule type="cellIs" dxfId="845" priority="47" stopIfTrue="1" operator="equal">
      <formula>"No"</formula>
    </cfRule>
  </conditionalFormatting>
  <conditionalFormatting sqref="A27">
    <cfRule type="expression" dxfId="844" priority="42" stopIfTrue="1">
      <formula>($Z$45="Not Virtualized")</formula>
    </cfRule>
  </conditionalFormatting>
  <conditionalFormatting sqref="C41:C48 H41:H47 S41:S44 A31:T39 P29:T30 E22:E24 J16 A18:D26 E25:P26 A28:B28 D28:T28 P14:T22 P25:T27 P23:P24 F22:I22 N22:T22 J18:M19 J11 J5">
    <cfRule type="expression" dxfId="843" priority="861" stopIfTrue="1">
      <formula>($B$29&gt;1)</formula>
    </cfRule>
  </conditionalFormatting>
  <conditionalFormatting sqref="C28:C30">
    <cfRule type="expression" dxfId="842" priority="33" stopIfTrue="1">
      <formula>($Z$47="Yes")</formula>
    </cfRule>
  </conditionalFormatting>
  <conditionalFormatting sqref="C28:C30">
    <cfRule type="cellIs" dxfId="841" priority="38" stopIfTrue="1" operator="equal">
      <formula>"&lt;--Enter Data"</formula>
    </cfRule>
    <cfRule type="cellIs" dxfId="840" priority="39" stopIfTrue="1" operator="equal">
      <formula>"Not Needed"</formula>
    </cfRule>
  </conditionalFormatting>
  <conditionalFormatting sqref="C28:C30">
    <cfRule type="cellIs" dxfId="839" priority="34" stopIfTrue="1" operator="equal">
      <formula>"&lt;--Enter Data"</formula>
    </cfRule>
    <cfRule type="cellIs" dxfId="838" priority="35" stopIfTrue="1" operator="equal">
      <formula>"Yes"</formula>
    </cfRule>
    <cfRule type="cellIs" dxfId="837" priority="36" stopIfTrue="1" operator="equal">
      <formula>"Not Needed"</formula>
    </cfRule>
    <cfRule type="cellIs" dxfId="836" priority="37" stopIfTrue="1" operator="equal">
      <formula>"No"</formula>
    </cfRule>
  </conditionalFormatting>
  <conditionalFormatting sqref="C28:C30">
    <cfRule type="expression" dxfId="835" priority="32" stopIfTrue="1">
      <formula>($Z$48="Not Virtualized")</formula>
    </cfRule>
  </conditionalFormatting>
  <conditionalFormatting sqref="C28:C30">
    <cfRule type="expression" dxfId="834" priority="31" stopIfTrue="1">
      <formula>($W$1="Yes")</formula>
    </cfRule>
  </conditionalFormatting>
  <conditionalFormatting sqref="C28:C30">
    <cfRule type="expression" dxfId="833" priority="41" stopIfTrue="1">
      <formula>($B$29&gt;1)</formula>
    </cfRule>
  </conditionalFormatting>
  <conditionalFormatting sqref="A23:D26 F28:Q28 P27:Q27 Q27:T39">
    <cfRule type="expression" dxfId="832" priority="946">
      <formula>($M$19&lt;&gt;"Yes")</formula>
    </cfRule>
  </conditionalFormatting>
  <conditionalFormatting sqref="E5:J5 E6:I8">
    <cfRule type="cellIs" dxfId="831" priority="23" stopIfTrue="1" operator="equal">
      <formula>"&lt;--Enter Data"</formula>
    </cfRule>
    <cfRule type="cellIs" dxfId="830" priority="24" stopIfTrue="1" operator="equal">
      <formula>"Yes"</formula>
    </cfRule>
    <cfRule type="cellIs" dxfId="829" priority="25" stopIfTrue="1" operator="equal">
      <formula>"Not Needed"</formula>
    </cfRule>
    <cfRule type="cellIs" dxfId="828" priority="26" stopIfTrue="1" operator="equal">
      <formula>"No"</formula>
    </cfRule>
  </conditionalFormatting>
  <conditionalFormatting sqref="E5:J5">
    <cfRule type="expression" dxfId="827" priority="16" stopIfTrue="1">
      <formula>($Z$47="Yes")</formula>
    </cfRule>
  </conditionalFormatting>
  <conditionalFormatting sqref="E5:J5 E6:I8">
    <cfRule type="cellIs" dxfId="826" priority="17" stopIfTrue="1" operator="equal">
      <formula>"&lt;--Enter Data"</formula>
    </cfRule>
    <cfRule type="cellIs" dxfId="825" priority="18" stopIfTrue="1" operator="equal">
      <formula>"Not Needed"</formula>
    </cfRule>
  </conditionalFormatting>
  <conditionalFormatting sqref="E5:J5 E6:I8">
    <cfRule type="cellIs" dxfId="824" priority="19" stopIfTrue="1" operator="equal">
      <formula>"&lt;--Enter Data"</formula>
    </cfRule>
    <cfRule type="cellIs" dxfId="823" priority="20" stopIfTrue="1" operator="equal">
      <formula>"Yes"</formula>
    </cfRule>
    <cfRule type="cellIs" dxfId="822" priority="21" stopIfTrue="1" operator="equal">
      <formula>"Not Needed"</formula>
    </cfRule>
    <cfRule type="cellIs" dxfId="821" priority="22" stopIfTrue="1" operator="equal">
      <formula>"No"</formula>
    </cfRule>
  </conditionalFormatting>
  <conditionalFormatting sqref="E5:J5">
    <cfRule type="expression" dxfId="820" priority="15" stopIfTrue="1">
      <formula>($Z$45="Not Virtualized")</formula>
    </cfRule>
  </conditionalFormatting>
  <conditionalFormatting sqref="E5:J5">
    <cfRule type="expression" dxfId="819" priority="14" stopIfTrue="1">
      <formula>($Z$48="Not Virtualized")</formula>
    </cfRule>
  </conditionalFormatting>
  <conditionalFormatting sqref="J10:O10">
    <cfRule type="expression" dxfId="818" priority="1" stopIfTrue="1">
      <formula>($Z$48="Not Virtualized")</formula>
    </cfRule>
  </conditionalFormatting>
  <conditionalFormatting sqref="J10:O10 J8">
    <cfRule type="cellIs" dxfId="817" priority="10" stopIfTrue="1" operator="equal">
      <formula>"&lt;--Enter Data"</formula>
    </cfRule>
    <cfRule type="cellIs" dxfId="816" priority="11" stopIfTrue="1" operator="equal">
      <formula>"Yes"</formula>
    </cfRule>
    <cfRule type="cellIs" dxfId="815" priority="12" stopIfTrue="1" operator="equal">
      <formula>"Not Needed"</formula>
    </cfRule>
    <cfRule type="cellIs" dxfId="814" priority="13" stopIfTrue="1" operator="equal">
      <formula>"No"</formula>
    </cfRule>
  </conditionalFormatting>
  <conditionalFormatting sqref="J10:O10">
    <cfRule type="expression" dxfId="813" priority="3" stopIfTrue="1">
      <formula>($Z$47="Yes")</formula>
    </cfRule>
  </conditionalFormatting>
  <conditionalFormatting sqref="J10:O10 J8">
    <cfRule type="cellIs" dxfId="812" priority="4" stopIfTrue="1" operator="equal">
      <formula>"&lt;--Enter Data"</formula>
    </cfRule>
    <cfRule type="cellIs" dxfId="811" priority="5" stopIfTrue="1" operator="equal">
      <formula>"Not Needed"</formula>
    </cfRule>
  </conditionalFormatting>
  <conditionalFormatting sqref="J10:O10 J8">
    <cfRule type="cellIs" dxfId="810" priority="6" stopIfTrue="1" operator="equal">
      <formula>"&lt;--Enter Data"</formula>
    </cfRule>
    <cfRule type="cellIs" dxfId="809" priority="7" stopIfTrue="1" operator="equal">
      <formula>"Yes"</formula>
    </cfRule>
    <cfRule type="cellIs" dxfId="808" priority="8" stopIfTrue="1" operator="equal">
      <formula>"Not Needed"</formula>
    </cfRule>
    <cfRule type="cellIs" dxfId="807" priority="9" stopIfTrue="1" operator="equal">
      <formula>"No"</formula>
    </cfRule>
  </conditionalFormatting>
  <conditionalFormatting sqref="J10:O10">
    <cfRule type="expression" dxfId="806" priority="2" stopIfTrue="1">
      <formula>($Z$45="Not Virtualized")</formula>
    </cfRule>
  </conditionalFormatting>
  <dataValidations count="3">
    <dataValidation type="list" allowBlank="1" showInputMessage="1" showErrorMessage="1" sqref="I61:P61 I52:P52" xr:uid="{00000000-0002-0000-0400-000000000000}">
      <formula1>$X$63:$X$65</formula1>
    </dataValidation>
    <dataValidation type="list" allowBlank="1" showInputMessage="1" showErrorMessage="1" sqref="W40" xr:uid="{00000000-0002-0000-0400-000002000000}">
      <formula1>$AA$20:$AA$23</formula1>
    </dataValidation>
    <dataValidation type="list" allowBlank="1" showInputMessage="1" showErrorMessage="1" sqref="M18:M19" xr:uid="{00000000-0002-0000-0400-000001000000}">
      <formula1>$V$19:$V$21</formula1>
    </dataValidation>
  </dataValidations>
  <hyperlinks>
    <hyperlink ref="S67" r:id="rId1" display="AMD site" xr:uid="{00000000-0004-0000-0400-000000000000}"/>
    <hyperlink ref="T67" r:id="rId2" xr:uid="{00000000-0004-0000-0400-000001000000}"/>
    <hyperlink ref="V62" r:id="rId3" location="@ServerProducts" xr:uid="{00000000-0004-0000-0400-000002000000}"/>
    <hyperlink ref="W62" r:id="rId4" display="AMD site" xr:uid="{00000000-0004-0000-0400-000003000000}"/>
    <hyperlink ref="X62" r:id="rId5" xr:uid="{00000000-0004-0000-0400-000004000000}"/>
    <hyperlink ref="R67" r:id="rId6" location="@ServerProducts" xr:uid="{00000000-0004-0000-0400-000005000000}"/>
  </hyperlinks>
  <pageMargins left="0.7" right="0.7" top="0.75" bottom="0.75" header="0.3" footer="0.3"/>
  <pageSetup orientation="portrait" horizontalDpi="90" verticalDpi="90" r:id="rId7"/>
  <drawing r:id="rId8"/>
  <legacyDrawing r:id="rId9"/>
  <mc:AlternateContent xmlns:mc="http://schemas.openxmlformats.org/markup-compatibility/2006">
    <mc:Choice Requires="x14">
      <controls>
        <mc:AlternateContent xmlns:mc="http://schemas.openxmlformats.org/markup-compatibility/2006">
          <mc:Choice Requires="x14">
            <control shapeId="3130" r:id="rId10" name="Button 58">
              <controlPr defaultSize="0" print="0" autoFill="0" autoPict="0" macro="[0]!Reset_Vconfig_info">
                <anchor moveWithCells="1">
                  <from>
                    <xdr:col>0</xdr:col>
                    <xdr:colOff>28575</xdr:colOff>
                    <xdr:row>0</xdr:row>
                    <xdr:rowOff>28575</xdr:rowOff>
                  </from>
                  <to>
                    <xdr:col>0</xdr:col>
                    <xdr:colOff>1019175</xdr:colOff>
                    <xdr:row>0</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4000000}">
          <x14:formula1>
            <xm:f>Defaults!$B$49:$B$52</xm:f>
          </x14:formula1>
          <xm:sqref>B29</xm:sqref>
        </x14:dataValidation>
        <x14:dataValidation type="list" allowBlank="1" showInputMessage="1" showErrorMessage="1" xr:uid="{00000000-0002-0000-0400-000005000000}">
          <x14:formula1>
            <xm:f>Defaults!$D$16:$D$33</xm:f>
          </x14:formula1>
          <xm:sqref>I53:P53 I62:P62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o 1 G L W r U j 4 E y l A A A A 9 g A A A B I A H A B D b 2 5 m a W c v U G F j a 2 F n Z S 5 4 b W w g o h g A K K A U A A A A A A A A A A A A A A A A A A A A A A A A A A A A h Y 9 B D o I w F E S v Q r q n L Y i J I Z + y c G U i x s T E u C W l Q i N 8 D C 2 W u 7 n w S F 5 B j K L u X M 6 b t 5 i 5 X 2 + Q D k 3 t X V R n d I s J C S g n n k L Z F h r L h P T 2 6 C 9 I K m C b y 1 N e K m + U 0 c S D K R J S W X u O G X P O U T e j b V e y k P O A H b L 1 T l a q y c l H 1 v 9 l X 6 O x O U p F B O x f Y 0 R I g 4 j T i M 8 p B z Z B y D R + h X D c + 2 x / I C z 7 2 v a d E g r 9 1 Q b Y F I G 9 P 4 g H U E s D B B Q A A g A I A K N R i 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j U Y t a K I p H u A 4 A A A A R A A A A E w A c A E Z v c m 1 1 b G F z L 1 N l Y 3 R p b 2 4 x L m 0 g o h g A K K A U A A A A A A A A A A A A A A A A A A A A A A A A A A A A K 0 5 N L s n M z 1 M I h t C G 1 g B Q S w E C L Q A U A A I A C A C j U Y t a t S P g T K U A A A D 2 A A A A E g A A A A A A A A A A A A A A A A A A A A A A Q 2 9 u Z m l n L 1 B h Y 2 t h Z 2 U u e G 1 s U E s B A i 0 A F A A C A A g A o 1 G L W g / K 6 a u k A A A A 6 Q A A A B M A A A A A A A A A A A A A A A A A 8 Q A A A F t D b 2 5 0 Z W 5 0 X 1 R 5 c G V z X S 5 4 b W x Q S w E C L Q A U A A I A C A C j U Y 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X / u I E E 0 J / 0 e 7 a D y X L K + N T Q A A A A A C A A A A A A A Q Z g A A A A E A A C A A A A C L H u 6 U W H f V M d 0 X i M d i T 3 O J T p r e F D 1 G 9 h J 5 c f 1 5 / c 5 W q Q A A A A A O g A A A A A I A A C A A A A C G + P B k O X v S u M F 0 3 J h e l H e f b K 4 e y s X u + k R b G J / 4 1 j S 0 m 1 A A A A A u e 9 R J D Y c Y Y y I U s m g X B H V u 2 m Y J g O o 6 3 W Y N + U 7 N 5 9 e H q e X t E 0 n b / 0 u i v D Z z B V G d N H 5 v p H g 3 s x R S U 9 A t V 5 N q K s r h 3 g E b n i D I k 9 L K b E x j g T i Y v U A A A A C e G w j g E f 1 t S P e r X J X h b u k B Y Q 5 u D w W n 6 x n Y / l b 5 k N i 4 n a k s g q 3 g q L I X t w J E D W c Z B 7 T x E j J V A + 4 a l P 4 L C n 9 R h C M R < / D a t a M a s h u p > 
</file>

<file path=customXml/itemProps1.xml><?xml version="1.0" encoding="utf-8"?>
<ds:datastoreItem xmlns:ds="http://schemas.openxmlformats.org/officeDocument/2006/customXml" ds:itemID="{787D8218-7AB9-4108-8284-098F0A3796FA}">
  <ds:schemaRefs>
    <ds:schemaRef ds:uri="http://schemas.microsoft.com/DataMashup"/>
  </ds:schemaRefs>
</ds:datastoreItem>
</file>

<file path=docMetadata/LabelInfo.xml><?xml version="1.0" encoding="utf-8"?>
<clbl:labelList xmlns:clbl="http://schemas.microsoft.com/office/2020/mipLabelMetadata">
  <clbl:label id="{3d44f5c7-726e-45cd-b26c-3e58cddea376}" enabled="0" method="" siteId="{3d44f5c7-726e-45cd-b26c-3e58cddea37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Overview</vt:lpstr>
      <vt:lpstr>Copyright Notice</vt:lpstr>
      <vt:lpstr>Clinical Info</vt:lpstr>
      <vt:lpstr>Database Server Info</vt:lpstr>
      <vt:lpstr>Citrix or Terminal Server Info</vt:lpstr>
      <vt:lpstr>Virtualized Config Checklist</vt:lpstr>
      <vt:lpstr>Qvera Recommendation</vt:lpstr>
      <vt:lpstr>Patient Education Checklist</vt:lpstr>
      <vt:lpstr>Virtualized Config Checklist1</vt:lpstr>
      <vt:lpstr>Defaults</vt:lpstr>
      <vt:lpstr>Physical Config Checklist </vt:lpstr>
      <vt:lpstr>Add On &amp; Desktop Applications</vt:lpstr>
      <vt:lpstr>Network Bitrate Calculations</vt:lpstr>
      <vt:lpstr>Changelog</vt:lpstr>
      <vt:lpstr>Warnings</vt:lpstr>
    </vt:vector>
  </TitlesOfParts>
  <Company>GE Healthcare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Hardware Requirements Calculator for CPS v12</dc:title>
  <dc:creator>Waldeck, John (GE Healthcare);steve.oubre@med.ge.com</dc:creator>
  <cp:lastModifiedBy>Travis Lass</cp:lastModifiedBy>
  <dcterms:created xsi:type="dcterms:W3CDTF">2011-12-13T21:12:10Z</dcterms:created>
  <dcterms:modified xsi:type="dcterms:W3CDTF">2025-07-21T21:03:37Z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ive_LatestUserAccountName">
    <vt:lpwstr>212039798</vt:lpwstr>
  </property>
  <property fmtid="{D5CDD505-2E9C-101B-9397-08002B2CF9AE}" pid="3" name="Offisync_ProviderInitializationData">
    <vt:lpwstr>https://engage.gehealthcare.com</vt:lpwstr>
  </property>
  <property fmtid="{D5CDD505-2E9C-101B-9397-08002B2CF9AE}" pid="4" name="Offisync_UpdateToken">
    <vt:lpwstr>14</vt:lpwstr>
  </property>
  <property fmtid="{D5CDD505-2E9C-101B-9397-08002B2CF9AE}" pid="5" name="Offisync_ServerID">
    <vt:lpwstr>5a5f2345-571f-4a4a-9259-d0f8aa1e49d4</vt:lpwstr>
  </property>
  <property fmtid="{D5CDD505-2E9C-101B-9397-08002B2CF9AE}" pid="6" name="Jive_VersionGuid">
    <vt:lpwstr>089e2873-85e3-4f43-9df1-222781563be5</vt:lpwstr>
  </property>
  <property fmtid="{D5CDD505-2E9C-101B-9397-08002B2CF9AE}" pid="7" name="Offisync_UniqueId">
    <vt:lpwstr>174127</vt:lpwstr>
  </property>
</Properties>
</file>